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Dimensionierung" sheetId="1" r:id="rId1"/>
    <sheet name="2.) max. Gleitzahl im Reiseflug" sheetId="2" r:id="rId2"/>
    <sheet name="3.) Dimensionierung" sheetId="3" r:id="rId3"/>
    <sheet name="Entwurfsdiagramm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Dimensionierung'!$C$51</definedName>
    <definedName name="BPR">'3.) Dimensionierung'!$C$6</definedName>
    <definedName name="CL">'3.) Dimensionierung'!$G$8</definedName>
    <definedName name="CL_m">'3.) Dimensionierung'!$C$11</definedName>
    <definedName name="e">'3.) Dimensionierung'!$C$18</definedName>
    <definedName name="g">'3.) Dimensionierung'!$C$16</definedName>
    <definedName name="gamma">'3.) Dimensionierung'!$C$15</definedName>
    <definedName name="L_D">'3.) Dimensionierung'!$G$9</definedName>
    <definedName name="L_D_max">'3.) Dimensionierung'!$C$7</definedName>
    <definedName name="M">'3.) Dimensionierung'!$C$12</definedName>
    <definedName name="p0">'3.) Dimensionierung'!$C$17</definedName>
    <definedName name="V_CR">'3.) Dimensionierung'!$C$52</definedName>
  </definedNames>
  <calcPr fullCalcOnLoad="1"/>
</workbook>
</file>

<file path=xl/sharedStrings.xml><?xml version="1.0" encoding="utf-8"?>
<sst xmlns="http://schemas.openxmlformats.org/spreadsheetml/2006/main" count="459" uniqueCount="319">
  <si>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</si>
  <si>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</si>
  <si>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</si>
  <si>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</si>
  <si>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</si>
  <si>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</si>
  <si>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</si>
  <si>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</si>
  <si>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</si>
  <si>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</si>
  <si>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2. Segment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</si>
  <si>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</si>
  <si>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</si>
  <si>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</si>
  <si>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</si>
  <si>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</si>
  <si>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</si>
  <si>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Flughöhe</t>
  </si>
  <si>
    <t>Reiseflug</t>
  </si>
  <si>
    <t>Durchstarten</t>
  </si>
  <si>
    <t>Start</t>
  </si>
  <si>
    <t>Landung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</si>
  <si>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</si>
  <si>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</si>
  <si>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</si>
  <si>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</si>
  <si>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</si>
  <si>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</si>
  <si>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</si>
  <si>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</si>
  <si>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Wiederholung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</si>
  <si>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</si>
  <si>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</si>
  <si>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</si>
  <si>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</si>
  <si>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</si>
  <si>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</si>
  <si>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</si>
  <si>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</si>
  <si>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</si>
  <si>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</si>
  <si>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</si>
  <si>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</si>
  <si>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</si>
  <si>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</si>
  <si>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</si>
  <si>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</si>
  <si>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</si>
  <si>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</si>
  <si>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nach Loftin</t>
  </si>
  <si>
    <r>
      <t>alle</t>
    </r>
    <r>
      <rPr>
        <sz val="10"/>
        <rFont val="Arial"/>
        <family val="0"/>
      </rPr>
      <t xml:space="preserve"> Triebwerke zusammen</t>
    </r>
  </si>
  <si>
    <r>
      <t>ein</t>
    </r>
    <r>
      <rPr>
        <sz val="10"/>
        <rFont val="Arial"/>
        <family val="0"/>
      </rPr>
      <t xml:space="preserve"> Triebwerk</t>
    </r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</si>
  <si>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</si>
  <si>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</si>
  <si>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</si>
  <si>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</si>
  <si>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</si>
  <si>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</si>
  <si>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</si>
  <si>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</si>
  <si>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</si>
  <si>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</si>
  <si>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t>Durchstarten (Missed Approach)</t>
  </si>
  <si>
    <t>Start (Take-Off)</t>
  </si>
  <si>
    <t>Landung (Landing)</t>
  </si>
  <si>
    <t>Anflug (Approach)</t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</si>
  <si>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</si>
  <si>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</si>
  <si>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</si>
  <si>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</si>
  <si>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</si>
  <si>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</si>
  <si>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</si>
  <si>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</si>
  <si>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</si>
  <si>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</si>
  <si>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</si>
  <si>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</si>
  <si>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Berechnungen zu den Flugphasen Anflug, Landung, Start, 2. Segment und Durchstarten</t>
  </si>
  <si>
    <t>Berechnungen zu Reiseflug, Entwurfsdiagramm, Kraftstoffmasse, Betriebsleermasse</t>
  </si>
  <si>
    <r>
      <t>und den Flugzeugparametern: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</si>
  <si>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</si>
  <si>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</si>
  <si>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</si>
  <si>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t>für den Plot</t>
  </si>
  <si>
    <t>aus Teil 1</t>
  </si>
  <si>
    <t>Hinweise:</t>
  </si>
  <si>
    <t>Konstanten</t>
  </si>
  <si>
    <t>Wert</t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</si>
  <si>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</si>
  <si>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</si>
  <si>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</si>
  <si>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</si>
  <si>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</si>
  <si>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</si>
  <si>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</si>
  <si>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oder</t>
  </si>
  <si>
    <t>&lt;&lt;&lt;&lt; Auswahl treffen gemäß Aufgabenstellung</t>
  </si>
  <si>
    <t>&lt;&lt;&lt;&lt; Werte</t>
  </si>
  <si>
    <t>&lt;&lt;&lt;&lt; kopieren</t>
  </si>
  <si>
    <t>&lt;&lt;&lt;&lt; aus</t>
  </si>
  <si>
    <t>&lt;&lt;&lt;&lt; Tabelle</t>
  </si>
  <si>
    <t>&lt;&lt;&lt;&lt; rechts</t>
  </si>
  <si>
    <t>&lt;&lt;&lt;&lt;</t>
  </si>
  <si>
    <t>nach Statistik (falls gegeben)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</si>
  <si>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nach Flugphase [Roskam]</t>
    </r>
  </si>
  <si>
    <t>(aus Teil 1)</t>
  </si>
  <si>
    <t>Gegeben: Sicherheitslandestrecke</t>
  </si>
  <si>
    <t>ja</t>
  </si>
  <si>
    <t>Gegeben: Anfluggeschwindigkeit</t>
  </si>
  <si>
    <r>
      <t xml:space="preserve">(m/s²) </t>
    </r>
    <r>
      <rPr>
        <vertAlign val="superscript"/>
        <sz val="10"/>
        <rFont val="Arial"/>
        <family val="2"/>
      </rPr>
      <t>0.5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</si>
  <si>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</si>
  <si>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 xml:space="preserve">   Zwischenwerte, Konstanten, ... sind schwarz gezeigt!</t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</si>
  <si>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</si>
  <si>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</si>
  <si>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</si>
  <si>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   </t>
    </r>
    <r>
      <rPr>
        <b/>
        <sz val="10"/>
        <rFont val="Arial"/>
        <family val="2"/>
      </rPr>
      <t>Ergebnisse</t>
    </r>
    <r>
      <rPr>
        <sz val="10"/>
        <rFont val="Arial"/>
        <family val="0"/>
      </rPr>
      <t xml:space="preserve"> sind </t>
    </r>
    <r>
      <rPr>
        <b/>
        <sz val="10"/>
        <color indexed="10"/>
        <rFont val="Arial"/>
        <family val="2"/>
      </rPr>
      <t>rot</t>
    </r>
    <r>
      <rPr>
        <sz val="10"/>
        <rFont val="Arial"/>
        <family val="0"/>
      </rPr>
      <t xml:space="preserve"> gezeigt. Diese Felder NICHT verändern!</t>
    </r>
  </si>
  <si>
    <r>
      <t>0,8 * C</t>
    </r>
    <r>
      <rPr>
        <vertAlign val="subscript"/>
        <sz val="10"/>
        <rFont val="Arial"/>
        <family val="2"/>
      </rPr>
      <t>L,max,L</t>
    </r>
  </si>
  <si>
    <t>Berechnung der Gleitzahl</t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</si>
  <si>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</si>
  <si>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</si>
  <si>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</si>
  <si>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</si>
  <si>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</si>
  <si>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t>Berechnung des Schub-Gewichts-Verhältnis</t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</si>
  <si>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</si>
  <si>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</si>
  <si>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</si>
  <si>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</si>
  <si>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</si>
  <si>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t>1.)  Aus der Theorie</t>
  </si>
  <si>
    <r>
      <t>k</t>
    </r>
    <r>
      <rPr>
        <vertAlign val="subscript"/>
        <sz val="10"/>
        <rFont val="Arial"/>
        <family val="2"/>
      </rPr>
      <t>E</t>
    </r>
  </si>
  <si>
    <t>2.) Nach RAYMER</t>
  </si>
  <si>
    <t>3.) Aus eigener Statistik</t>
  </si>
  <si>
    <t>???</t>
  </si>
  <si>
    <r>
      <t>Abschätzung der maximalen Gleitzahl im Reiseflug, E</t>
    </r>
    <r>
      <rPr>
        <b/>
        <vertAlign val="subscript"/>
        <sz val="10"/>
        <rFont val="Arial"/>
        <family val="2"/>
      </rPr>
      <t>max</t>
    </r>
  </si>
  <si>
    <r>
      <t>k</t>
    </r>
    <r>
      <rPr>
        <vertAlign val="subscript"/>
        <sz val="10"/>
        <rFont val="Arial"/>
        <family val="2"/>
      </rPr>
      <t xml:space="preserve">E    </t>
    </r>
    <r>
      <rPr>
        <sz val="10"/>
        <rFont val="Arial"/>
        <family val="2"/>
      </rPr>
      <t>gewählt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</si>
  <si>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</si>
  <si>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</si>
  <si>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</si>
  <si>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r>
      <t>Abschätzung des Parameters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mit 1.), 2.) oder 3.)</t>
    </r>
  </si>
  <si>
    <t>1.) Dimensionierung</t>
  </si>
  <si>
    <t>2.) max. Gleitzahl im Reiseflug</t>
  </si>
  <si>
    <r>
      <t>E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gewählt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</si>
  <si>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</si>
  <si>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</si>
  <si>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</si>
  <si>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</si>
  <si>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</si>
  <si>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</si>
  <si>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</si>
  <si>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</si>
  <si>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</si>
  <si>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</si>
  <si>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</si>
  <si>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</si>
  <si>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</si>
  <si>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</si>
  <si>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</si>
  <si>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</si>
  <si>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</si>
  <si>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</si>
  <si>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</si>
  <si>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</si>
  <si>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</si>
  <si>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</si>
  <si>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t>Kurz- und Mittelstrecke</t>
  </si>
  <si>
    <t>Langstrecke</t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</si>
  <si>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</si>
  <si>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</si>
  <si>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</si>
  <si>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</si>
  <si>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</si>
  <si>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</si>
  <si>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</si>
  <si>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</si>
  <si>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</si>
  <si>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</si>
  <si>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</si>
  <si>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</si>
  <si>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</si>
  <si>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</si>
  <si>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</si>
  <si>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</si>
  <si>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</si>
  <si>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r>
      <t xml:space="preserve">   </t>
    </r>
    <r>
      <rPr>
        <b/>
        <sz val="10"/>
        <rFont val="Arial"/>
        <family val="2"/>
      </rPr>
      <t>Erfahrungswerte</t>
    </r>
    <r>
      <rPr>
        <sz val="10"/>
        <rFont val="Arial"/>
        <family val="0"/>
      </rPr>
      <t xml:space="preserve"> sind </t>
    </r>
    <r>
      <rPr>
        <sz val="10"/>
        <color indexed="12"/>
        <rFont val="Arial"/>
        <family val="2"/>
      </rPr>
      <t>leicht blau</t>
    </r>
    <r>
      <rPr>
        <sz val="10"/>
        <rFont val="Arial"/>
        <family val="0"/>
      </rPr>
      <t xml:space="preserve"> gedruckte Werte. Felder normal NICHT ändern!</t>
    </r>
  </si>
  <si>
    <r>
      <t xml:space="preserve">   </t>
    </r>
    <r>
      <rPr>
        <b/>
        <sz val="10"/>
        <rFont val="Arial"/>
        <family val="2"/>
      </rPr>
      <t>Eingabewerte</t>
    </r>
    <r>
      <rPr>
        <sz val="10"/>
        <rFont val="Arial"/>
        <family val="0"/>
      </rPr>
      <t xml:space="preserve"> sind </t>
    </r>
    <r>
      <rPr>
        <b/>
        <sz val="10"/>
        <color indexed="12"/>
        <rFont val="Arial"/>
        <family val="2"/>
      </rPr>
      <t>fett blau</t>
    </r>
    <r>
      <rPr>
        <sz val="10"/>
        <rFont val="Arial"/>
        <family val="0"/>
      </rPr>
      <t xml:space="preserve"> gedruckte Werte.</t>
    </r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</si>
  <si>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 xml:space="preserve">" </t>
    </r>
    <r>
      <rPr>
        <sz val="10"/>
        <rFont val="Arial"/>
        <family val="0"/>
      </rPr>
      <t>zeigt besondere Eingaben oder Eingriffe des Anwenders.</t>
    </r>
  </si>
  <si>
    <t>3.) Dimensionierung</t>
  </si>
  <si>
    <t>nein</t>
  </si>
  <si>
    <t>Faktor</t>
  </si>
  <si>
    <t>Sicherheitslandestrecke</t>
  </si>
  <si>
    <t>Anfluggeschwindigkeit</t>
  </si>
  <si>
    <t>Dichteverhältnis</t>
  </si>
  <si>
    <t>max. Auftriebsbeiwert, Landung</t>
  </si>
  <si>
    <t>Massenverhältnis, Landung-Start</t>
  </si>
  <si>
    <t>Flächebelastung bei Landemasse</t>
  </si>
  <si>
    <t>Flächebelastung bei Startmasse</t>
  </si>
  <si>
    <t>Sicherheitsstartstrecke</t>
  </si>
  <si>
    <r>
      <t>Erfahrungswert für C</t>
    </r>
    <r>
      <rPr>
        <vertAlign val="subscript"/>
        <sz val="10"/>
        <rFont val="Arial"/>
        <family val="2"/>
      </rPr>
      <t>L,max,TO</t>
    </r>
  </si>
  <si>
    <t>max. Auftriebsbeiwert, Start</t>
  </si>
  <si>
    <t>Geradensteigung</t>
  </si>
  <si>
    <t>Schub-Gewichtsverhältnis</t>
  </si>
  <si>
    <t>Streckung</t>
  </si>
  <si>
    <t>Auftriebsbeiwert, Start</t>
  </si>
  <si>
    <t>Nullwiderstandsbeiwert, clean</t>
  </si>
  <si>
    <t>Nullwiderstandsbeiwert, durch Flaps</t>
  </si>
  <si>
    <t>Nullwiderstandsbeiwert, durch Slats</t>
  </si>
  <si>
    <t>Profilwiderstandsbeiwert</t>
  </si>
  <si>
    <t>e</t>
  </si>
  <si>
    <t>Oswald-Faktor; mit Klappenausschlag</t>
  </si>
  <si>
    <t>Gleitzahl in Startkonfiguration</t>
  </si>
  <si>
    <t>Gleitzahl in Landekonfiguration</t>
  </si>
  <si>
    <t>Anzahl der Triebwerke</t>
  </si>
  <si>
    <t>Steiggradient</t>
  </si>
  <si>
    <t>Auftriebsbeiwert, Landung</t>
  </si>
  <si>
    <t>Nullwiderstandsbeiwert, durch Fahrwerk</t>
  </si>
  <si>
    <r>
      <t>Oswald-Faktor für k</t>
    </r>
    <r>
      <rPr>
        <vertAlign val="subscript"/>
        <sz val="10"/>
        <rFont val="Arial"/>
        <family val="2"/>
      </rPr>
      <t>E</t>
    </r>
  </si>
  <si>
    <t>äquivalenter Oberflächenwiderstandbeiwert</t>
  </si>
  <si>
    <t>Oberflächenverhältnis</t>
  </si>
  <si>
    <t>max. Gleitzahl</t>
  </si>
  <si>
    <t>Nebenstromverhältnis</t>
  </si>
  <si>
    <t>Oswald-Faktor, clean</t>
  </si>
  <si>
    <t>Nullwiderstandsbeiwert</t>
  </si>
  <si>
    <r>
      <t>Auftriebsbeiw. bei E</t>
    </r>
    <r>
      <rPr>
        <vertAlign val="subscript"/>
        <sz val="10"/>
        <rFont val="Arial"/>
        <family val="2"/>
      </rPr>
      <t>max</t>
    </r>
  </si>
  <si>
    <t>Machzahl, Reiseflug</t>
  </si>
  <si>
    <t>Flächenbelastung</t>
  </si>
  <si>
    <t>Schubverhältnis</t>
  </si>
  <si>
    <t>Reiseflughöhe</t>
  </si>
  <si>
    <t>Temperatur, Troposphäre</t>
  </si>
  <si>
    <r>
      <t>Temperatur, h</t>
    </r>
    <r>
      <rPr>
        <vertAlign val="subscript"/>
        <sz val="10"/>
        <rFont val="Arial"/>
        <family val="2"/>
      </rPr>
      <t>CR</t>
    </r>
  </si>
  <si>
    <t>Reisefluggeschwindigkeit</t>
  </si>
  <si>
    <t>Auslegungsreichweite</t>
  </si>
  <si>
    <t>Flugstrecke zum Ausweichplatz</t>
  </si>
  <si>
    <t>Spez.Kraftstoffverbrauch, Reise</t>
  </si>
  <si>
    <t>Breguet-Faktor, Reichweite</t>
  </si>
  <si>
    <t>Fuel-Fraction, Reiseflug</t>
  </si>
  <si>
    <t>Flugzeit im Warteflug</t>
  </si>
  <si>
    <t>Breguet-Faktor, Flugzeit</t>
  </si>
  <si>
    <t>Fuel-Fraction, Warteflug</t>
  </si>
  <si>
    <t>Fuel-Fraction, Triebwerksstart</t>
  </si>
  <si>
    <t>Fuel-Fraction, Rollen</t>
  </si>
  <si>
    <t>Fuel-Fraction, Start</t>
  </si>
  <si>
    <t>Fuel-Fraction, Steigflug</t>
  </si>
  <si>
    <t>Fuel-Fraction, Sinkflug</t>
  </si>
  <si>
    <t>Fuel-Fraction, Landung</t>
  </si>
  <si>
    <t>Fuel-Fraction, Standardflug</t>
  </si>
  <si>
    <t>Fuel-Fraction, gesamt</t>
  </si>
  <si>
    <t>Kraftstoffmassenanteil</t>
  </si>
  <si>
    <t>Frachtmasse</t>
  </si>
  <si>
    <t>Nutzlast</t>
  </si>
  <si>
    <t>maximale Abflugmasse</t>
  </si>
  <si>
    <t>maximale Landemasse</t>
  </si>
  <si>
    <t>Betriebsleermasse</t>
  </si>
  <si>
    <t>Flügelfläche</t>
  </si>
  <si>
    <t>Startschub</t>
  </si>
  <si>
    <t>Startschub EINES Triebwerks</t>
  </si>
  <si>
    <t>Kraftstoffmasse, erforderlich</t>
  </si>
  <si>
    <t>Kraftstoffdichte</t>
  </si>
  <si>
    <t>Kraftstoffvolumen, erforderlich</t>
  </si>
  <si>
    <t>max. Nutzlast</t>
  </si>
  <si>
    <t>max. Leertankmasse</t>
  </si>
  <si>
    <r>
      <t>m</t>
    </r>
    <r>
      <rPr>
        <vertAlign val="subscript"/>
        <sz val="10"/>
        <rFont val="Arial"/>
        <family val="2"/>
      </rPr>
      <t xml:space="preserve">ML          </t>
    </r>
  </si>
  <si>
    <t>Überprüfung der Annahmen:</t>
  </si>
  <si>
    <t>Kurz- / Mittelstr.</t>
  </si>
  <si>
    <t>Fuel-Fraction, Reserveflugstr.</t>
  </si>
  <si>
    <t>max. Gleitzahl, Reiseflug</t>
  </si>
  <si>
    <r>
      <t>Schallgeschwindigkeit, h</t>
    </r>
    <r>
      <rPr>
        <vertAlign val="subscript"/>
        <sz val="10"/>
        <rFont val="Arial"/>
        <family val="2"/>
      </rPr>
      <t>CR</t>
    </r>
  </si>
  <si>
    <t>NM</t>
  </si>
  <si>
    <t>Umrechnungsfaktor</t>
  </si>
  <si>
    <t>NM -&gt; m</t>
  </si>
  <si>
    <t>m/NM</t>
  </si>
  <si>
    <t>Fuel-Fraction, alle Reserven</t>
  </si>
  <si>
    <t>Spez.Kraftstoffverbr., Warteflug</t>
  </si>
  <si>
    <t>Betriebsleermasenverhältnis</t>
  </si>
  <si>
    <t>Anzahl der Passagiere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</si>
  <si>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</si>
  <si>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</si>
  <si>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>Jet, Theorie, Optimum:</t>
  </si>
  <si>
    <t>Isentropenexponent, Luft</t>
  </si>
  <si>
    <t>Erdbeschleunigung</t>
  </si>
  <si>
    <t>Luftdruck, ISA, Standard</t>
  </si>
  <si>
    <t>Eulersche Zahl</t>
  </si>
  <si>
    <t xml:space="preserve">   Autor: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</si>
  <si>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</si>
  <si>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</si>
  <si>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</si>
  <si>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t xml:space="preserve">   Beispieldaten: Siehe Klausur SS05</t>
  </si>
  <si>
    <t>typischer Wert:</t>
  </si>
  <si>
    <t>Kraftstoffmasse, alle Reserven</t>
  </si>
  <si>
    <t>Masse: Passagier mit Gepäck</t>
  </si>
  <si>
    <t>Kraftstoffmasse für Standardflug</t>
  </si>
  <si>
    <r>
      <t>m</t>
    </r>
    <r>
      <rPr>
        <vertAlign val="subscript"/>
        <sz val="10"/>
        <rFont val="Arial"/>
        <family val="2"/>
      </rPr>
      <t>F</t>
    </r>
  </si>
  <si>
    <t>(später zu vergleichen mit der Tankgeometrie)</t>
  </si>
  <si>
    <t>m -&gt; ft</t>
  </si>
  <si>
    <t>m/ft</t>
  </si>
  <si>
    <t>ft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</si>
  <si>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bei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der Landung</t>
    </r>
  </si>
  <si>
    <t>&lt;&lt;&lt;&lt; Entwurfspunkt aus Entwurfsdiagramm ablesen.</t>
  </si>
  <si>
    <r>
      <t xml:space="preserve">&lt;&lt;&lt;&lt; </t>
    </r>
    <r>
      <rPr>
        <sz val="10"/>
        <rFont val="Arial"/>
        <family val="2"/>
      </rPr>
      <t>Die angegebenen Daten sind dann richtig, wenn Start und Landung gleichzeitig dimensionierend sind.</t>
    </r>
  </si>
  <si>
    <t>Reservezeit:</t>
  </si>
  <si>
    <t>Reserveflugstrecke:</t>
  </si>
  <si>
    <t>Kraftstoffreserve auf Langstrecke</t>
  </si>
  <si>
    <t>Reserveflugstrecke</t>
  </si>
  <si>
    <r>
      <t>Abfrage</t>
    </r>
    <r>
      <rPr>
        <sz val="10"/>
        <rFont val="Arial"/>
        <family val="0"/>
      </rPr>
      <t>: FAR Part121-Reserves?</t>
    </r>
  </si>
  <si>
    <r>
      <t>Abfrage</t>
    </r>
    <r>
      <rPr>
        <sz val="10"/>
        <rFont val="Arial"/>
        <family val="0"/>
      </rPr>
      <t>: Flugzeugtyp</t>
    </r>
  </si>
  <si>
    <t>Starttemperatur über ISA (288,15K)</t>
  </si>
  <si>
    <r>
      <t>Abfrage</t>
    </r>
    <r>
      <rPr>
        <sz val="10"/>
        <rFont val="Arial"/>
        <family val="0"/>
      </rPr>
      <t>: Zulassungsbasis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</si>
  <si>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</si>
  <si>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</si>
  <si>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t>m²/kg</t>
  </si>
  <si>
    <t>Leertankmasse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</si>
  <si>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</si>
  <si>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</si>
  <si>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</si>
  <si>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L,md</t>
    </r>
  </si>
  <si>
    <t>CS-25</t>
  </si>
  <si>
    <r>
      <t>C</t>
    </r>
    <r>
      <rPr>
        <vertAlign val="subscript"/>
        <sz val="10"/>
        <rFont val="Arial"/>
        <family val="2"/>
      </rPr>
      <t>f,quer</t>
    </r>
  </si>
  <si>
    <r>
      <t>V/V</t>
    </r>
    <r>
      <rPr>
        <vertAlign val="subscript"/>
        <sz val="10"/>
        <rFont val="Arial"/>
        <family val="2"/>
      </rPr>
      <t>md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</si>
</sst>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5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Entwurfsdiagramm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Dimensionierung'!$G$20</c:f>
              <c:strCache>
                <c:ptCount val="1"/>
                <c:pt idx="0">
                  <c:v>2.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Dimensionierung'!$H$20</c:f>
              <c:strCache>
                <c:ptCount val="1"/>
                <c:pt idx="0">
                  <c:v>Durchstarten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Dimensionierung'!$H$30:$H$39</c:f>
              <c:numCache>
                <c:ptCount val="10"/>
                <c:pt idx="0">
                  <c:v>0.17710286937678185</c:v>
                </c:pt>
                <c:pt idx="1">
                  <c:v>0.17710286937678185</c:v>
                </c:pt>
                <c:pt idx="2">
                  <c:v>0.17710286937678185</c:v>
                </c:pt>
                <c:pt idx="3">
                  <c:v>0.17710286937678185</c:v>
                </c:pt>
                <c:pt idx="4">
                  <c:v>0.17710286937678185</c:v>
                </c:pt>
                <c:pt idx="5">
                  <c:v>0.17710286937678185</c:v>
                </c:pt>
                <c:pt idx="6">
                  <c:v>0.17710286937678185</c:v>
                </c:pt>
                <c:pt idx="7">
                  <c:v>0.17710286937678185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Dimensionierung'!$I$20</c:f>
              <c:strCache>
                <c:ptCount val="1"/>
                <c:pt idx="0">
                  <c:v>Start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Dimensionierung'!$J$20</c:f>
              <c:strCache>
                <c:ptCount val="1"/>
                <c:pt idx="0">
                  <c:v>Reiseflug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Dimensionierung'!$K$20</c:f>
              <c:strCache>
                <c:ptCount val="1"/>
                <c:pt idx="0">
                  <c:v>Landung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41497520"/>
        <c:axId val="51884913"/>
      </c:scatterChart>
      <c:valAx>
        <c:axId val="4149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Flächenbelastung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84913"/>
        <c:crosses val="autoZero"/>
        <c:crossBetween val="midCat"/>
        <c:dispUnits/>
      </c:valAx>
      <c:valAx>
        <c:axId val="5188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Schub-Gewichtsverhältnis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75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1075"/>
          <c:w val="0.119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30530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08647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54330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55282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28125" style="0" bestFit="1" customWidth="1"/>
    <col min="2" max="2" width="32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141</v>
      </c>
    </row>
    <row r="2" ht="12.75">
      <c r="A2" s="16" t="s">
        <v>78</v>
      </c>
    </row>
    <row r="3" ht="13.5" thickBot="1">
      <c r="B3" s="16"/>
    </row>
    <row r="4" spans="1:7" ht="12.75">
      <c r="A4" s="94" t="s">
        <v>186</v>
      </c>
      <c r="B4" s="95"/>
      <c r="C4" s="96"/>
      <c r="E4" s="94" t="s">
        <v>283</v>
      </c>
      <c r="F4" s="103"/>
      <c r="G4" s="96"/>
    </row>
    <row r="5" spans="1:7" ht="12.75">
      <c r="A5" s="97" t="s">
        <v>185</v>
      </c>
      <c r="B5" s="93"/>
      <c r="C5" s="98"/>
      <c r="E5" s="104" t="s">
        <v>284</v>
      </c>
      <c r="F5" s="9"/>
      <c r="G5" s="98"/>
    </row>
    <row r="6" spans="1:7" ht="12.75">
      <c r="A6" s="97" t="s">
        <v>116</v>
      </c>
      <c r="B6" s="93"/>
      <c r="C6" s="98"/>
      <c r="E6" s="104" t="s">
        <v>285</v>
      </c>
      <c r="F6" s="9"/>
      <c r="G6" s="98"/>
    </row>
    <row r="7" spans="1:7" ht="12.75">
      <c r="A7" s="97" t="s">
        <v>112</v>
      </c>
      <c r="B7" s="93"/>
      <c r="C7" s="98"/>
      <c r="E7" s="110" t="s">
        <v>286</v>
      </c>
      <c r="F7" s="9"/>
      <c r="G7" s="98"/>
    </row>
    <row r="8" spans="1:7" ht="13.5" thickBot="1">
      <c r="A8" s="99" t="s">
        <v>187</v>
      </c>
      <c r="B8" s="100"/>
      <c r="C8" s="101"/>
      <c r="E8" s="105" t="s">
        <v>287</v>
      </c>
      <c r="F8" s="100"/>
      <c r="G8" s="101"/>
    </row>
    <row r="9" ht="12.75">
      <c r="A9" s="92"/>
    </row>
    <row r="10" ht="12.75">
      <c r="A10" s="13" t="s">
        <v>65</v>
      </c>
    </row>
    <row r="11" spans="1:4" ht="15.75">
      <c r="A11" t="s">
        <v>190</v>
      </c>
      <c r="B11" t="s">
        <v>66</v>
      </c>
      <c r="C11" s="114">
        <v>1.7018324</v>
      </c>
      <c r="D11" t="s">
        <v>110</v>
      </c>
    </row>
    <row r="12" spans="1:4" ht="12.75">
      <c r="A12" t="s">
        <v>269</v>
      </c>
      <c r="B12" t="s">
        <v>69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107</v>
      </c>
      <c r="C14" s="55" t="s">
        <v>108</v>
      </c>
      <c r="E14" s="12" t="s">
        <v>97</v>
      </c>
    </row>
    <row r="15" spans="1:5" ht="15.75">
      <c r="A15" t="s">
        <v>191</v>
      </c>
      <c r="B15" t="s">
        <v>67</v>
      </c>
      <c r="C15" s="25">
        <v>1700</v>
      </c>
      <c r="D15" t="s">
        <v>3</v>
      </c>
      <c r="E15" s="15"/>
    </row>
    <row r="16" spans="1:4" ht="15.75">
      <c r="A16" t="s">
        <v>192</v>
      </c>
      <c r="B16" s="24" t="s">
        <v>68</v>
      </c>
      <c r="C16" s="15">
        <f>C11*SQRT(C15)</f>
        <v>70.16834742298406</v>
      </c>
      <c r="D16" t="s">
        <v>4</v>
      </c>
    </row>
    <row r="17" spans="1:4" ht="15.75">
      <c r="A17" t="s">
        <v>192</v>
      </c>
      <c r="B17" s="24" t="s">
        <v>68</v>
      </c>
      <c r="C17" s="76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109</v>
      </c>
      <c r="C19" s="72" t="str">
        <f>IF(C14="ja","nein","ja")</f>
        <v>nein</v>
      </c>
      <c r="D19" s="58"/>
    </row>
    <row r="20" spans="1:4" ht="15.75">
      <c r="A20" t="s">
        <v>192</v>
      </c>
      <c r="B20" t="s">
        <v>68</v>
      </c>
      <c r="C20" s="77">
        <v>136.2</v>
      </c>
      <c r="D20" s="25" t="s">
        <v>6</v>
      </c>
    </row>
    <row r="21" spans="1:4" ht="15.75">
      <c r="A21" t="s">
        <v>192</v>
      </c>
      <c r="B21" s="24" t="s">
        <v>68</v>
      </c>
      <c r="C21" s="75">
        <f>C20/C12</f>
        <v>70.06733333333334</v>
      </c>
      <c r="D21" t="s">
        <v>4</v>
      </c>
    </row>
    <row r="22" spans="1:4" ht="15.75">
      <c r="A22" t="s">
        <v>191</v>
      </c>
      <c r="B22" t="s">
        <v>67</v>
      </c>
      <c r="C22" s="57">
        <f>(C21/C11)^2</f>
        <v>1695.1088959016513</v>
      </c>
      <c r="D22" s="58" t="s">
        <v>3</v>
      </c>
    </row>
    <row r="23" spans="2:4" ht="12.75">
      <c r="B23" s="24"/>
      <c r="C23" s="73"/>
      <c r="D23" s="24"/>
    </row>
    <row r="24" spans="3:4" ht="12.75">
      <c r="C24" s="24"/>
      <c r="D24" s="24"/>
    </row>
    <row r="25" ht="12.75">
      <c r="A25" s="13" t="s">
        <v>64</v>
      </c>
    </row>
    <row r="26" spans="1:4" ht="15.75">
      <c r="A26" t="s">
        <v>191</v>
      </c>
      <c r="B26" t="s">
        <v>67</v>
      </c>
      <c r="C26" s="6">
        <f>IF(C14="ja",C15,C22)</f>
        <v>1700</v>
      </c>
      <c r="D26" t="s">
        <v>3</v>
      </c>
    </row>
    <row r="27" spans="1:4" ht="15.75">
      <c r="A27" t="s">
        <v>306</v>
      </c>
      <c r="B27" s="4" t="s">
        <v>308</v>
      </c>
      <c r="C27" s="25">
        <v>0</v>
      </c>
      <c r="D27" t="s">
        <v>31</v>
      </c>
    </row>
    <row r="28" spans="1:3" ht="12.75">
      <c r="A28" t="s">
        <v>193</v>
      </c>
      <c r="B28" s="4" t="s">
        <v>36</v>
      </c>
      <c r="C28" s="14">
        <f>288.15/(288.15+C27)</f>
        <v>1</v>
      </c>
    </row>
    <row r="29" spans="1:4" ht="15.75">
      <c r="A29" t="s">
        <v>190</v>
      </c>
      <c r="B29" t="s">
        <v>70</v>
      </c>
      <c r="C29" s="21">
        <f>0.03694455*C11^2</f>
        <v>0.10700004400596522</v>
      </c>
      <c r="D29" t="s">
        <v>7</v>
      </c>
    </row>
    <row r="30" spans="1:3" ht="15.75">
      <c r="A30" t="s">
        <v>194</v>
      </c>
      <c r="B30" t="s">
        <v>71</v>
      </c>
      <c r="C30" s="25">
        <v>2.6</v>
      </c>
    </row>
    <row r="31" spans="1:3" ht="15.75">
      <c r="A31" t="s">
        <v>195</v>
      </c>
      <c r="B31" t="s">
        <v>114</v>
      </c>
      <c r="C31" s="59">
        <v>0.75</v>
      </c>
    </row>
    <row r="32" spans="1:4" ht="15.75">
      <c r="A32" t="s">
        <v>196</v>
      </c>
      <c r="B32" s="24" t="s">
        <v>113</v>
      </c>
      <c r="C32" s="73">
        <f>C29*C28*C30*C26</f>
        <v>472.94019450636625</v>
      </c>
      <c r="D32" t="s">
        <v>8</v>
      </c>
    </row>
    <row r="33" spans="1:4" ht="15.75">
      <c r="A33" t="s">
        <v>197</v>
      </c>
      <c r="B33" s="24" t="s">
        <v>115</v>
      </c>
      <c r="C33" s="57">
        <f>C32/C31</f>
        <v>630.5869260084884</v>
      </c>
      <c r="D33" s="58" t="s">
        <v>8</v>
      </c>
    </row>
    <row r="35" ht="12.75">
      <c r="A35" s="13" t="s">
        <v>63</v>
      </c>
    </row>
    <row r="36" spans="1:4" ht="15.75">
      <c r="A36" t="s">
        <v>198</v>
      </c>
      <c r="B36" t="s">
        <v>74</v>
      </c>
      <c r="C36" s="25">
        <v>3048</v>
      </c>
      <c r="D36" t="s">
        <v>3</v>
      </c>
    </row>
    <row r="37" spans="1:4" ht="15.75">
      <c r="A37" t="s">
        <v>306</v>
      </c>
      <c r="B37" s="4" t="s">
        <v>309</v>
      </c>
      <c r="C37" s="25">
        <v>0</v>
      </c>
      <c r="D37" t="s">
        <v>31</v>
      </c>
    </row>
    <row r="38" spans="1:3" ht="12.75">
      <c r="A38" t="s">
        <v>193</v>
      </c>
      <c r="B38" s="4" t="s">
        <v>36</v>
      </c>
      <c r="C38" s="14">
        <f>288.15/(288.15+C37)</f>
        <v>1</v>
      </c>
    </row>
    <row r="39" spans="1:4" ht="15.75">
      <c r="A39" t="s">
        <v>190</v>
      </c>
      <c r="B39" t="s">
        <v>72</v>
      </c>
      <c r="C39" s="74">
        <v>2.34</v>
      </c>
      <c r="D39" t="s">
        <v>9</v>
      </c>
    </row>
    <row r="40" spans="1:3" ht="15.75">
      <c r="A40" t="s">
        <v>199</v>
      </c>
      <c r="B40" t="s">
        <v>117</v>
      </c>
      <c r="C40">
        <f>0.8*C30</f>
        <v>2.08</v>
      </c>
    </row>
    <row r="41" spans="1:4" ht="15.75">
      <c r="A41" t="s">
        <v>200</v>
      </c>
      <c r="B41" t="s">
        <v>73</v>
      </c>
      <c r="C41" s="25">
        <f>C40</f>
        <v>2.08</v>
      </c>
      <c r="D41" s="18"/>
    </row>
    <row r="42" spans="1:4" ht="12.75">
      <c r="A42" t="s">
        <v>201</v>
      </c>
      <c r="B42" s="24" t="s">
        <v>2</v>
      </c>
      <c r="C42" s="61">
        <f>C39/C36/C38/C41</f>
        <v>0.0003690944881889763</v>
      </c>
      <c r="D42" s="58" t="s">
        <v>310</v>
      </c>
    </row>
    <row r="43" spans="1:3" ht="15.75">
      <c r="A43" t="s">
        <v>202</v>
      </c>
      <c r="B43" s="24" t="s">
        <v>297</v>
      </c>
      <c r="C43" s="60">
        <f>C42*C33</f>
        <v>0.2327461587137629</v>
      </c>
    </row>
    <row r="45" ht="12.75">
      <c r="A45" s="13" t="s">
        <v>10</v>
      </c>
    </row>
    <row r="46" ht="12.75">
      <c r="B46" s="13"/>
    </row>
    <row r="47" ht="12.75">
      <c r="A47" s="16" t="s">
        <v>118</v>
      </c>
    </row>
    <row r="48" spans="1:3" ht="12.75">
      <c r="A48" t="s">
        <v>203</v>
      </c>
      <c r="B48" t="s">
        <v>11</v>
      </c>
      <c r="C48" s="25">
        <v>10.02</v>
      </c>
    </row>
    <row r="49" spans="1:3" ht="15.75">
      <c r="A49" t="s">
        <v>204</v>
      </c>
      <c r="B49" t="s">
        <v>119</v>
      </c>
      <c r="C49" s="5">
        <f>C41/1.2^2</f>
        <v>1.4444444444444446</v>
      </c>
    </row>
    <row r="50" spans="1:6" ht="15.75">
      <c r="A50" t="s">
        <v>205</v>
      </c>
      <c r="B50" t="s">
        <v>127</v>
      </c>
      <c r="C50" s="78">
        <v>0.02</v>
      </c>
      <c r="E50" s="51" t="s">
        <v>75</v>
      </c>
      <c r="F50" s="45" t="s">
        <v>77</v>
      </c>
    </row>
    <row r="51" spans="1:6" ht="15.75">
      <c r="A51" t="s">
        <v>206</v>
      </c>
      <c r="B51" s="4" t="s">
        <v>120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207</v>
      </c>
      <c r="B52" s="4" t="s">
        <v>121</v>
      </c>
      <c r="C52" s="78">
        <v>0</v>
      </c>
      <c r="E52" s="32">
        <v>3</v>
      </c>
      <c r="F52" s="27">
        <v>0.027</v>
      </c>
    </row>
    <row r="53" spans="1:6" ht="15.75">
      <c r="A53" t="s">
        <v>208</v>
      </c>
      <c r="B53" t="s">
        <v>76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210</v>
      </c>
      <c r="B54" t="s">
        <v>209</v>
      </c>
      <c r="C54" s="74">
        <v>0.7</v>
      </c>
      <c r="F54" s="5"/>
    </row>
    <row r="55" spans="1:3" ht="15.75">
      <c r="A55" t="s">
        <v>211</v>
      </c>
      <c r="B55" t="s">
        <v>123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124</v>
      </c>
      <c r="C57" s="5"/>
    </row>
    <row r="58" spans="1:3" ht="15.75">
      <c r="A58" t="s">
        <v>213</v>
      </c>
      <c r="B58" t="s">
        <v>75</v>
      </c>
      <c r="C58" s="25">
        <v>2</v>
      </c>
    </row>
    <row r="59" spans="1:3" ht="12.75">
      <c r="A59" t="s">
        <v>214</v>
      </c>
      <c r="B59" t="s">
        <v>77</v>
      </c>
      <c r="C59">
        <f>CHOOSE(C58-1,F51,F52,F53)</f>
        <v>0.024</v>
      </c>
    </row>
    <row r="60" spans="1:3" ht="15.75">
      <c r="A60" t="s">
        <v>202</v>
      </c>
      <c r="B60" s="24" t="s">
        <v>111</v>
      </c>
      <c r="C60" s="60">
        <f>C58/(C58-1)*(1/C55+C59)</f>
        <v>0.23064223875828477</v>
      </c>
    </row>
    <row r="63" ht="12.75">
      <c r="A63" s="13" t="s">
        <v>62</v>
      </c>
    </row>
    <row r="64" ht="12.75">
      <c r="A64" s="16" t="s">
        <v>118</v>
      </c>
    </row>
    <row r="65" spans="1:8" ht="15.75">
      <c r="A65" t="s">
        <v>215</v>
      </c>
      <c r="B65" t="s">
        <v>125</v>
      </c>
      <c r="C65" s="5">
        <f>C30/1.3^2</f>
        <v>1.5384615384615383</v>
      </c>
      <c r="E65" s="49"/>
      <c r="F65" s="38"/>
      <c r="G65" s="122" t="s">
        <v>316</v>
      </c>
      <c r="H65" s="45" t="s">
        <v>129</v>
      </c>
    </row>
    <row r="66" spans="1:8" ht="15.75">
      <c r="A66" t="s">
        <v>205</v>
      </c>
      <c r="B66" t="s">
        <v>126</v>
      </c>
      <c r="C66" s="78">
        <v>0.02</v>
      </c>
      <c r="E66" s="79" t="s">
        <v>122</v>
      </c>
      <c r="F66" s="1"/>
      <c r="G66" s="116">
        <v>0</v>
      </c>
      <c r="H66" s="115">
        <v>0.015</v>
      </c>
    </row>
    <row r="67" spans="1:3" ht="15.75">
      <c r="A67" t="s">
        <v>206</v>
      </c>
      <c r="B67" s="4" t="s">
        <v>120</v>
      </c>
      <c r="C67" s="14">
        <f>IF(0.05*(C65-1.3)+0.01&lt;0,0,0.05*(C65-1.3)+0.01)</f>
        <v>0.021923076923076913</v>
      </c>
    </row>
    <row r="68" spans="1:3" ht="15.75">
      <c r="A68" t="s">
        <v>207</v>
      </c>
      <c r="B68" s="4" t="s">
        <v>121</v>
      </c>
      <c r="C68" s="78">
        <v>0</v>
      </c>
    </row>
    <row r="69" spans="1:5" ht="12.75">
      <c r="A69" s="16" t="s">
        <v>307</v>
      </c>
      <c r="B69" s="17" t="s">
        <v>316</v>
      </c>
      <c r="C69" s="55" t="s">
        <v>108</v>
      </c>
      <c r="E69" s="12" t="s">
        <v>97</v>
      </c>
    </row>
    <row r="70" spans="2:3" ht="12.75">
      <c r="B70" t="s">
        <v>129</v>
      </c>
      <c r="C70" s="72" t="str">
        <f>IF(C69="ja","nein","ja")</f>
        <v>nein</v>
      </c>
    </row>
    <row r="71" spans="1:6" ht="15.75">
      <c r="A71" t="s">
        <v>216</v>
      </c>
      <c r="B71" s="4" t="s">
        <v>122</v>
      </c>
      <c r="C71" s="21">
        <f>IF(C69="ja",G66,H66)</f>
        <v>0</v>
      </c>
      <c r="E71" s="51" t="s">
        <v>75</v>
      </c>
      <c r="F71" s="45" t="s">
        <v>77</v>
      </c>
    </row>
    <row r="72" spans="1:6" ht="15.75">
      <c r="A72" t="s">
        <v>208</v>
      </c>
      <c r="B72" t="s">
        <v>76</v>
      </c>
      <c r="C72" s="21">
        <f>C66+C67+C68+C71</f>
        <v>0.04192307692307691</v>
      </c>
      <c r="E72" s="32">
        <v>2</v>
      </c>
      <c r="F72" s="27">
        <v>0.021</v>
      </c>
    </row>
    <row r="73" spans="1:6" ht="15.75">
      <c r="A73" t="s">
        <v>212</v>
      </c>
      <c r="B73" t="s">
        <v>128</v>
      </c>
      <c r="C73" s="5">
        <f>C65/(C72+C65^2/PI()/C48/C54)</f>
        <v>10.30199477812759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124</v>
      </c>
      <c r="C75" s="5"/>
      <c r="E75" s="92"/>
      <c r="F75" s="92"/>
    </row>
    <row r="76" spans="1:3" ht="12.75">
      <c r="A76" t="s">
        <v>214</v>
      </c>
      <c r="B76" t="s">
        <v>77</v>
      </c>
      <c r="C76">
        <f>CHOOSE(C58-1,F72,F73,F74)</f>
        <v>0.021</v>
      </c>
    </row>
    <row r="77" spans="1:3" ht="15.75">
      <c r="A77" t="s">
        <v>202</v>
      </c>
      <c r="B77" s="24" t="s">
        <v>111</v>
      </c>
      <c r="C77" s="60">
        <f>C58/(C58-1)*(1/C73+C76)*C31</f>
        <v>0.17710286937678185</v>
      </c>
    </row>
  </sheetData>
  <sheetProtection/>
  <dataValidations count="1">
    <dataValidation type="list" allowBlank="1" showInputMessage="1" showErrorMessage="1" sqref="C14 C69">
      <formula1>"ja, nein"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2564014" r:id="rId8"/>
    <oleObject progId="Equation.3" shapeId="144598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142</v>
      </c>
    </row>
    <row r="3" ht="14.25">
      <c r="A3" s="16" t="s">
        <v>140</v>
      </c>
    </row>
    <row r="5" ht="12.75">
      <c r="A5" s="81" t="s">
        <v>130</v>
      </c>
    </row>
    <row r="6" spans="1:3" ht="15.75">
      <c r="A6" t="s">
        <v>217</v>
      </c>
      <c r="B6" t="s">
        <v>209</v>
      </c>
      <c r="C6" s="25">
        <v>0.85</v>
      </c>
    </row>
    <row r="7" spans="1:3" ht="15.75">
      <c r="A7" t="s">
        <v>218</v>
      </c>
      <c r="B7" s="17" t="s">
        <v>317</v>
      </c>
      <c r="C7" s="25">
        <v>0.003</v>
      </c>
    </row>
    <row r="8" spans="1:3" ht="15.75">
      <c r="A8" t="s">
        <v>190</v>
      </c>
      <c r="B8" t="s">
        <v>131</v>
      </c>
      <c r="C8" s="75">
        <f>1/2*SQRT(PI()*C6/C7)</f>
        <v>14.91742201686595</v>
      </c>
    </row>
    <row r="10" ht="12.75">
      <c r="A10" s="81" t="s">
        <v>132</v>
      </c>
    </row>
    <row r="11" spans="1:3" ht="15.75">
      <c r="A11" t="s">
        <v>190</v>
      </c>
      <c r="B11" t="s">
        <v>131</v>
      </c>
      <c r="C11">
        <v>15.8</v>
      </c>
    </row>
    <row r="13" ht="12.75">
      <c r="A13" s="81" t="s">
        <v>133</v>
      </c>
    </row>
    <row r="14" spans="1:3" ht="15.75">
      <c r="A14" t="s">
        <v>190</v>
      </c>
      <c r="B14" t="s">
        <v>131</v>
      </c>
      <c r="C14" s="83" t="s">
        <v>134</v>
      </c>
    </row>
    <row r="16" ht="14.25">
      <c r="A16" s="16" t="s">
        <v>135</v>
      </c>
    </row>
    <row r="18" spans="1:5" ht="15.75">
      <c r="A18" t="s">
        <v>190</v>
      </c>
      <c r="B18" t="s">
        <v>136</v>
      </c>
      <c r="C18" s="25">
        <f>C11</f>
        <v>15.8</v>
      </c>
      <c r="E18" s="12" t="s">
        <v>97</v>
      </c>
    </row>
    <row r="19" spans="1:5" ht="15.75">
      <c r="A19" t="s">
        <v>219</v>
      </c>
      <c r="B19" t="s">
        <v>137</v>
      </c>
      <c r="C19" s="25">
        <v>6.1</v>
      </c>
      <c r="E19" t="s">
        <v>138</v>
      </c>
    </row>
    <row r="20" spans="1:4" ht="12.75">
      <c r="A20" t="s">
        <v>203</v>
      </c>
      <c r="B20" t="s">
        <v>11</v>
      </c>
      <c r="C20">
        <f>'1.) Dimensionierung'!C48</f>
        <v>10.02</v>
      </c>
      <c r="D20" t="s">
        <v>106</v>
      </c>
    </row>
    <row r="21" spans="1:3" ht="15.75">
      <c r="A21" t="s">
        <v>220</v>
      </c>
      <c r="B21" t="s">
        <v>139</v>
      </c>
      <c r="C21" s="82">
        <f>C18*SQRT(C20/C19)</f>
        <v>20.250046751615738</v>
      </c>
    </row>
    <row r="23" ht="12.75">
      <c r="B23" t="s">
        <v>96</v>
      </c>
    </row>
    <row r="25" spans="1:5" ht="15.75">
      <c r="A25" t="s">
        <v>220</v>
      </c>
      <c r="B25" t="s">
        <v>143</v>
      </c>
      <c r="C25" s="59">
        <f>C21</f>
        <v>20.250046751615738</v>
      </c>
      <c r="E25" s="12" t="s">
        <v>97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2" width="14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188</v>
      </c>
    </row>
    <row r="2" ht="12.75">
      <c r="A2" s="16" t="s">
        <v>79</v>
      </c>
    </row>
    <row r="3" ht="14.25">
      <c r="A3" s="16" t="s">
        <v>80</v>
      </c>
    </row>
    <row r="5" spans="1:7" ht="12.75">
      <c r="A5" s="8" t="s">
        <v>12</v>
      </c>
      <c r="B5" s="1"/>
      <c r="C5" s="3" t="s">
        <v>88</v>
      </c>
      <c r="D5" s="1"/>
      <c r="F5" s="8" t="s">
        <v>12</v>
      </c>
      <c r="G5" s="3" t="s">
        <v>88</v>
      </c>
    </row>
    <row r="6" spans="1:10" ht="15.75">
      <c r="A6" t="s">
        <v>221</v>
      </c>
      <c r="B6" t="s">
        <v>1</v>
      </c>
      <c r="C6" s="25">
        <v>9.5</v>
      </c>
      <c r="F6" s="17" t="s">
        <v>318</v>
      </c>
      <c r="G6" s="25">
        <f>SQRT(SQRT(3))</f>
        <v>1.3160740129524924</v>
      </c>
      <c r="I6" s="102" t="s">
        <v>278</v>
      </c>
      <c r="J6">
        <f>SQRT(SQRT(3))</f>
        <v>1.3160740129524924</v>
      </c>
    </row>
    <row r="7" spans="1:7" ht="15.75">
      <c r="A7" t="s">
        <v>266</v>
      </c>
      <c r="B7" s="24" t="s">
        <v>139</v>
      </c>
      <c r="C7" s="84">
        <f>'2.) max. Gleitzahl im Reiseflug'!C25</f>
        <v>20.250046751615738</v>
      </c>
      <c r="D7" t="s">
        <v>145</v>
      </c>
      <c r="F7" s="17" t="s">
        <v>314</v>
      </c>
      <c r="G7" s="14">
        <f>1/G6^2</f>
        <v>0.5773502691896258</v>
      </c>
    </row>
    <row r="8" spans="1:7" ht="15.75">
      <c r="A8" t="s">
        <v>203</v>
      </c>
      <c r="B8" t="s">
        <v>11</v>
      </c>
      <c r="C8" s="17">
        <f>'1.) Dimensionierung'!C48</f>
        <v>10.02</v>
      </c>
      <c r="D8" t="s">
        <v>106</v>
      </c>
      <c r="F8" t="s">
        <v>13</v>
      </c>
      <c r="G8" s="14">
        <f>G7*C11</f>
        <v>0.3814344078971136</v>
      </c>
    </row>
    <row r="9" spans="1:7" ht="12.75">
      <c r="A9" t="s">
        <v>222</v>
      </c>
      <c r="B9" t="s">
        <v>209</v>
      </c>
      <c r="C9" s="74">
        <v>0.85</v>
      </c>
      <c r="F9" t="s">
        <v>144</v>
      </c>
      <c r="G9" s="14">
        <f>L_D_max*2/(1/G7+G7)</f>
        <v>17.537054914721782</v>
      </c>
    </row>
    <row r="10" spans="1:3" ht="15.75">
      <c r="A10" t="s">
        <v>223</v>
      </c>
      <c r="B10" t="s">
        <v>59</v>
      </c>
      <c r="C10" s="21">
        <f>PI()*C8*C9/4/L_D_max^2</f>
        <v>0.01631264812215898</v>
      </c>
    </row>
    <row r="11" spans="1:3" ht="15.75">
      <c r="A11" t="s">
        <v>224</v>
      </c>
      <c r="B11" s="17" t="s">
        <v>315</v>
      </c>
      <c r="C11" s="5">
        <f>SQRT(C10*PI()*C8*C9)</f>
        <v>0.660663774232752</v>
      </c>
    </row>
    <row r="12" spans="1:3" ht="15.75">
      <c r="A12" t="s">
        <v>225</v>
      </c>
      <c r="B12" t="s">
        <v>60</v>
      </c>
      <c r="C12" s="25">
        <v>0.85</v>
      </c>
    </row>
    <row r="14" spans="1:4" ht="12.75">
      <c r="A14" s="1" t="s">
        <v>87</v>
      </c>
      <c r="B14" s="1"/>
      <c r="C14" s="1"/>
      <c r="D14" s="1"/>
    </row>
    <row r="15" spans="1:3" ht="12.75">
      <c r="A15" s="24" t="s">
        <v>279</v>
      </c>
      <c r="B15" s="106" t="s">
        <v>14</v>
      </c>
      <c r="C15">
        <v>1.4</v>
      </c>
    </row>
    <row r="16" spans="1:4" ht="12.75">
      <c r="A16" t="s">
        <v>280</v>
      </c>
      <c r="B16" s="85" t="s">
        <v>14</v>
      </c>
      <c r="C16">
        <v>9.81</v>
      </c>
      <c r="D16" t="s">
        <v>15</v>
      </c>
    </row>
    <row r="17" spans="1:4" ht="15.75">
      <c r="A17" t="s">
        <v>281</v>
      </c>
      <c r="B17" s="85" t="s">
        <v>61</v>
      </c>
      <c r="C17">
        <v>101325</v>
      </c>
      <c r="D17" t="s">
        <v>16</v>
      </c>
    </row>
    <row r="18" spans="1:3" ht="12.75">
      <c r="A18" t="s">
        <v>282</v>
      </c>
      <c r="B18" s="85" t="s">
        <v>209</v>
      </c>
      <c r="C18">
        <v>2.7182818281828</v>
      </c>
    </row>
    <row r="20" spans="1:11" ht="12.75">
      <c r="A20" s="71" t="s">
        <v>17</v>
      </c>
      <c r="B20" s="36"/>
      <c r="C20" s="35" t="s">
        <v>18</v>
      </c>
      <c r="D20" s="35"/>
      <c r="E20" s="35"/>
      <c r="F20" s="36"/>
      <c r="G20" s="37" t="s">
        <v>10</v>
      </c>
      <c r="H20" s="37" t="s">
        <v>19</v>
      </c>
      <c r="I20" s="37" t="s">
        <v>20</v>
      </c>
      <c r="J20" s="62" t="s">
        <v>18</v>
      </c>
      <c r="K20" s="37" t="s">
        <v>21</v>
      </c>
    </row>
    <row r="21" spans="1:11" ht="15.75">
      <c r="A21" s="39" t="s">
        <v>22</v>
      </c>
      <c r="B21" s="26" t="s">
        <v>23</v>
      </c>
      <c r="C21" s="3" t="s">
        <v>0</v>
      </c>
      <c r="D21" s="3" t="s">
        <v>24</v>
      </c>
      <c r="E21" s="3" t="s">
        <v>25</v>
      </c>
      <c r="F21" s="28" t="s">
        <v>26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Dimensionierung'!$C$60</f>
        <v>0.23064223875828477</v>
      </c>
      <c r="H22" s="31">
        <f>'1.) Dimensionierung'!$C$77</f>
        <v>0.17710286937678185</v>
      </c>
      <c r="I22" s="34">
        <f>F22*'1.) Dimensionierung'!$C$42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Dimensionierung'!$C$60</f>
        <v>0.23064223875828477</v>
      </c>
      <c r="H23" s="31">
        <f>'1.) Dimensionierung'!$C$77</f>
        <v>0.17710286937678185</v>
      </c>
      <c r="I23" s="34">
        <f>F23*'1.) Dimensionierung'!$C$42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Dimensionierung'!$C$60</f>
        <v>0.23064223875828477</v>
      </c>
      <c r="H24" s="31">
        <f>'1.) Dimensionierung'!$C$77</f>
        <v>0.17710286937678185</v>
      </c>
      <c r="I24" s="34">
        <f>F24*'1.) Dimensionierung'!$C$42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Dimensionierung'!$C$60</f>
        <v>0.23064223875828477</v>
      </c>
      <c r="H25" s="31">
        <f>'1.) Dimensionierung'!$C$77</f>
        <v>0.17710286937678185</v>
      </c>
      <c r="I25" s="34">
        <f>F25*'1.) Dimensionierung'!$C$42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Dimensionierung'!$C$60</f>
        <v>0.23064223875828477</v>
      </c>
      <c r="H26" s="31">
        <f>'1.) Dimensionierung'!$C$77</f>
        <v>0.17710286937678185</v>
      </c>
      <c r="I26" s="34">
        <f>F26*'1.) Dimensionierung'!$C$42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Dimensionierung'!$C$60</f>
        <v>0.23064223875828477</v>
      </c>
      <c r="H27" s="31">
        <f>'1.) Dimensionierung'!$C$77</f>
        <v>0.17710286937678185</v>
      </c>
      <c r="I27" s="34">
        <f>F27*'1.) Dimensionierung'!$C$42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Dimensionierung'!$C$60</f>
        <v>0.23064223875828477</v>
      </c>
      <c r="H28" s="31">
        <f>'1.) Dimensionierung'!$C$77</f>
        <v>0.17710286937678185</v>
      </c>
      <c r="I28" s="34">
        <f>F28*'1.) Dimensionierung'!$C$42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Dimensionierung'!$C$60</f>
        <v>0.23064223875828477</v>
      </c>
      <c r="H29" s="31">
        <f>'1.) Dimensionierung'!$C$77</f>
        <v>0.17710286937678185</v>
      </c>
      <c r="I29" s="34">
        <f>F29*'1.) Dimensionierung'!$C$42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Dimensionierung'!$C$60</f>
        <v>0.23064223875828477</v>
      </c>
      <c r="H30" s="31">
        <f>'1.) Dimensionierung'!$C$77</f>
        <v>0.17710286937678185</v>
      </c>
      <c r="I30" s="34">
        <f>F30*'1.) Dimensionierung'!$C$42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Dimensionierung'!$C$60</f>
        <v>0.23064223875828477</v>
      </c>
      <c r="H31" s="31">
        <f>'1.) Dimensionierung'!$C$77</f>
        <v>0.17710286937678185</v>
      </c>
      <c r="I31" s="34">
        <f>F31*'1.) Dimensionierung'!$C$42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Dimensionierung'!$C$60</f>
        <v>0.23064223875828477</v>
      </c>
      <c r="H32" s="31">
        <f>'1.) Dimensionierung'!$C$77</f>
        <v>0.17710286937678185</v>
      </c>
      <c r="I32" s="34">
        <f>F32*'1.) Dimensionierung'!$C$42</f>
        <v>0.19184159325096098</v>
      </c>
      <c r="J32" s="34">
        <f t="shared" si="5"/>
        <v>0.28034472547025047</v>
      </c>
      <c r="K32" s="32"/>
    </row>
    <row r="33" spans="1:11" ht="12.75">
      <c r="A33" s="107">
        <v>11</v>
      </c>
      <c r="B33" s="28">
        <f t="shared" si="0"/>
        <v>36091</v>
      </c>
      <c r="C33" s="108">
        <f t="shared" si="1"/>
        <v>0.17605000000000004</v>
      </c>
      <c r="D33" s="108">
        <f t="shared" si="2"/>
        <v>0.32389728577477384</v>
      </c>
      <c r="E33" s="7">
        <f t="shared" si="3"/>
        <v>22627.254431599747</v>
      </c>
      <c r="F33" s="109">
        <f t="shared" si="4"/>
        <v>444.95758157562767</v>
      </c>
      <c r="G33" s="31">
        <f>'1.) Dimensionierung'!$C$60</f>
        <v>0.23064223875828477</v>
      </c>
      <c r="H33" s="31">
        <f>'1.) Dimensionierung'!$C$77</f>
        <v>0.17710286937678185</v>
      </c>
      <c r="I33" s="34">
        <f>F33*'1.) Dimensionierung'!$C$42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Dimensionierung'!$C$60</f>
        <v>0.23064223875828477</v>
      </c>
      <c r="H34" s="31">
        <f>'1.) Dimensionierung'!$C$77</f>
        <v>0.17710286937678185</v>
      </c>
      <c r="I34" s="34">
        <f>F34*'1.) Dimensionierung'!$C$42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Dimensionierung'!$C$60</f>
        <v>0.23064223875828477</v>
      </c>
      <c r="H35" s="31">
        <f>'1.) Dimensionierung'!$C$77</f>
        <v>0.17710286937678185</v>
      </c>
      <c r="I35" s="34">
        <f>F35*'1.) Dimensionierung'!$C$42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Dimensionierung'!$C$60</f>
        <v>0.23064223875828477</v>
      </c>
      <c r="H36" s="31">
        <f>'1.) Dimensionierung'!$C$77</f>
        <v>0.17710286937678185</v>
      </c>
      <c r="I36" s="34">
        <f>F36*'1.) Dimensionierung'!$C$42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Dimensionierung'!$C$60</f>
        <v>0.23064223875828477</v>
      </c>
      <c r="H37" s="31">
        <f>'1.) Dimensionierung'!$C$77</f>
        <v>0.17710286937678185</v>
      </c>
      <c r="I37" s="34">
        <f>F37*'1.) Dimensionierung'!$C$42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Dimensionierung'!C33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3" t="s">
        <v>86</v>
      </c>
      <c r="B40" s="67" t="s">
        <v>58</v>
      </c>
      <c r="C40" s="64" t="s">
        <v>276</v>
      </c>
      <c r="D40" s="65" t="s">
        <v>27</v>
      </c>
      <c r="E40" s="64" t="s">
        <v>28</v>
      </c>
      <c r="F40" s="67" t="s">
        <v>29</v>
      </c>
      <c r="G40" s="50" t="s">
        <v>85</v>
      </c>
      <c r="H40" s="50" t="s">
        <v>85</v>
      </c>
      <c r="I40" s="50" t="s">
        <v>85</v>
      </c>
      <c r="J40" s="68" t="s">
        <v>30</v>
      </c>
      <c r="K40" s="50" t="s">
        <v>85</v>
      </c>
    </row>
    <row r="41" spans="1:11" ht="12.75">
      <c r="A41" s="39"/>
      <c r="B41" s="26"/>
      <c r="C41" s="3" t="s">
        <v>277</v>
      </c>
      <c r="D41" s="66"/>
      <c r="E41" s="3"/>
      <c r="F41" s="26"/>
      <c r="G41" s="33"/>
      <c r="H41" s="33"/>
      <c r="I41" s="33"/>
      <c r="J41" s="69" t="s">
        <v>84</v>
      </c>
      <c r="K41" s="33"/>
    </row>
    <row r="43" spans="1:5" ht="15.75">
      <c r="A43" t="s">
        <v>226</v>
      </c>
      <c r="B43" t="s">
        <v>91</v>
      </c>
      <c r="C43" s="42">
        <f>'1.) Dimensionierung'!C33</f>
        <v>630.5869260084884</v>
      </c>
      <c r="D43" s="25" t="s">
        <v>8</v>
      </c>
      <c r="E43" s="12" t="s">
        <v>298</v>
      </c>
    </row>
    <row r="44" spans="1:5" ht="15.75">
      <c r="A44" t="s">
        <v>202</v>
      </c>
      <c r="B44" t="s">
        <v>95</v>
      </c>
      <c r="C44" s="56">
        <f>'1.) Dimensionierung'!C43</f>
        <v>0.2327461587137629</v>
      </c>
      <c r="E44" s="12" t="s">
        <v>299</v>
      </c>
    </row>
    <row r="45" spans="1:5" ht="15.75">
      <c r="A45" t="s">
        <v>227</v>
      </c>
      <c r="B45" t="s">
        <v>90</v>
      </c>
      <c r="C45" s="19">
        <f>1/(C44*L_D)</f>
        <v>0.24499702798866035</v>
      </c>
      <c r="E45" s="12"/>
    </row>
    <row r="46" spans="1:5" ht="12.75">
      <c r="A46" t="s">
        <v>269</v>
      </c>
      <c r="B46" t="s">
        <v>294</v>
      </c>
      <c r="C46" s="19">
        <v>0.3048</v>
      </c>
      <c r="D46" t="s">
        <v>295</v>
      </c>
      <c r="E46" s="12"/>
    </row>
    <row r="47" spans="1:5" ht="15.75">
      <c r="A47" t="s">
        <v>228</v>
      </c>
      <c r="B47" t="s">
        <v>89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228</v>
      </c>
      <c r="B48" t="s">
        <v>89</v>
      </c>
      <c r="C48" s="57">
        <f>C47/C46</f>
        <v>27818.520012684276</v>
      </c>
      <c r="D48" s="58" t="s">
        <v>296</v>
      </c>
      <c r="E48" s="12"/>
    </row>
    <row r="49" spans="1:7" ht="15.75">
      <c r="A49" t="s">
        <v>229</v>
      </c>
      <c r="B49" t="s">
        <v>82</v>
      </c>
      <c r="C49" s="70">
        <f>288.15-0.0065*C47</f>
        <v>233.0359481508699</v>
      </c>
      <c r="D49" t="s">
        <v>31</v>
      </c>
      <c r="E49" s="17" t="s">
        <v>81</v>
      </c>
      <c r="F49">
        <v>216.65</v>
      </c>
      <c r="G49" t="s">
        <v>31</v>
      </c>
    </row>
    <row r="50" spans="1:5" ht="15.75">
      <c r="A50" t="s">
        <v>230</v>
      </c>
      <c r="B50" t="s">
        <v>92</v>
      </c>
      <c r="C50" s="70">
        <f>IF(C49&lt;F49,F49,C49)</f>
        <v>233.0359481508699</v>
      </c>
      <c r="E50" s="12"/>
    </row>
    <row r="51" spans="1:5" ht="15.75">
      <c r="A51" t="s">
        <v>267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231</v>
      </c>
      <c r="B52" t="s">
        <v>83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269</v>
      </c>
      <c r="B54" s="20" t="s">
        <v>270</v>
      </c>
      <c r="C54">
        <v>1852</v>
      </c>
      <c r="D54" t="s">
        <v>271</v>
      </c>
      <c r="E54" s="12"/>
    </row>
    <row r="55" spans="1:5" ht="12.75">
      <c r="A55" t="s">
        <v>232</v>
      </c>
      <c r="B55" t="s">
        <v>32</v>
      </c>
      <c r="C55" s="42">
        <v>8500</v>
      </c>
      <c r="D55" s="25" t="s">
        <v>268</v>
      </c>
      <c r="E55" s="12"/>
    </row>
    <row r="56" spans="1:4" ht="12.75">
      <c r="A56" t="s">
        <v>232</v>
      </c>
      <c r="B56" t="s">
        <v>32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93</v>
      </c>
      <c r="C57" s="74">
        <v>200</v>
      </c>
      <c r="D57" s="74" t="s">
        <v>268</v>
      </c>
    </row>
    <row r="58" spans="1:5" ht="15.75">
      <c r="A58" t="s">
        <v>233</v>
      </c>
      <c r="B58" t="s">
        <v>93</v>
      </c>
      <c r="C58" s="24">
        <f>C57*C54</f>
        <v>370400</v>
      </c>
      <c r="D58" t="s">
        <v>3</v>
      </c>
      <c r="E58" s="16" t="s">
        <v>301</v>
      </c>
    </row>
    <row r="59" spans="1:7" ht="15.75">
      <c r="A59" s="16" t="s">
        <v>304</v>
      </c>
      <c r="B59" t="s">
        <v>35</v>
      </c>
      <c r="C59" s="55" t="s">
        <v>189</v>
      </c>
      <c r="E59" s="91" t="s">
        <v>34</v>
      </c>
      <c r="F59" s="112" t="s">
        <v>94</v>
      </c>
      <c r="G59" s="113"/>
    </row>
    <row r="60" spans="2:7" ht="12.75">
      <c r="B60" t="s">
        <v>154</v>
      </c>
      <c r="C60" s="72" t="str">
        <f>IF(C59="ja","nein","ja")</f>
        <v>ja</v>
      </c>
      <c r="E60" s="40" t="s">
        <v>35</v>
      </c>
      <c r="F60" s="120">
        <f>C58</f>
        <v>370400</v>
      </c>
      <c r="G60" s="121" t="s">
        <v>3</v>
      </c>
    </row>
    <row r="61" spans="1:7" ht="12.75">
      <c r="A61" s="22" t="s">
        <v>302</v>
      </c>
      <c r="C61" s="119">
        <v>0.05</v>
      </c>
      <c r="E61" s="107" t="s">
        <v>154</v>
      </c>
      <c r="F61" s="1">
        <f>C56*C61+C58</f>
        <v>1157500</v>
      </c>
      <c r="G61" s="28" t="s">
        <v>3</v>
      </c>
    </row>
    <row r="63" spans="1:5" ht="15.75">
      <c r="A63" t="s">
        <v>303</v>
      </c>
      <c r="B63" t="s">
        <v>94</v>
      </c>
      <c r="C63" s="118">
        <f>IF(C59="ja",F60,F61)</f>
        <v>1157500</v>
      </c>
      <c r="D63" t="s">
        <v>3</v>
      </c>
      <c r="E63" s="12"/>
    </row>
    <row r="64" spans="1:7" ht="15.75">
      <c r="A64" t="s">
        <v>234</v>
      </c>
      <c r="B64" t="s">
        <v>146</v>
      </c>
      <c r="C64" s="41">
        <v>1.4E-05</v>
      </c>
      <c r="D64" s="25" t="s">
        <v>33</v>
      </c>
      <c r="E64" t="s">
        <v>288</v>
      </c>
      <c r="F64" s="111">
        <v>1.6E-05</v>
      </c>
      <c r="G64" t="s">
        <v>33</v>
      </c>
    </row>
    <row r="65" spans="3:6" ht="12.75">
      <c r="C65" s="41"/>
      <c r="E65" s="16" t="s">
        <v>300</v>
      </c>
      <c r="F65" s="111"/>
    </row>
    <row r="66" spans="1:7" ht="15.75">
      <c r="A66" t="s">
        <v>235</v>
      </c>
      <c r="B66" t="s">
        <v>147</v>
      </c>
      <c r="C66" s="6">
        <f>L_D*V_CR/C64/g</f>
        <v>33220363.61848019</v>
      </c>
      <c r="D66" t="s">
        <v>3</v>
      </c>
      <c r="E66" s="91" t="s">
        <v>34</v>
      </c>
      <c r="F66" s="112" t="s">
        <v>150</v>
      </c>
      <c r="G66" s="113"/>
    </row>
    <row r="67" spans="1:7" ht="15.75">
      <c r="A67" t="s">
        <v>236</v>
      </c>
      <c r="B67" t="s">
        <v>148</v>
      </c>
      <c r="C67" s="14">
        <f>POWER(e,-C56/C66)</f>
        <v>0.622590689647041</v>
      </c>
      <c r="E67" s="40" t="s">
        <v>35</v>
      </c>
      <c r="F67" s="9">
        <v>2700</v>
      </c>
      <c r="G67" s="27" t="s">
        <v>36</v>
      </c>
    </row>
    <row r="68" spans="1:7" ht="15.75">
      <c r="A68" t="s">
        <v>265</v>
      </c>
      <c r="B68" t="s">
        <v>149</v>
      </c>
      <c r="C68" s="14">
        <f>POWER(e,-C63/C66)</f>
        <v>0.9657569447652928</v>
      </c>
      <c r="E68" s="107" t="s">
        <v>154</v>
      </c>
      <c r="F68" s="1">
        <v>1800</v>
      </c>
      <c r="G68" s="28" t="s">
        <v>36</v>
      </c>
    </row>
    <row r="69" ht="12.75">
      <c r="C69" s="14"/>
    </row>
    <row r="70" spans="1:5" ht="15.75">
      <c r="A70" t="s">
        <v>237</v>
      </c>
      <c r="B70" t="s">
        <v>150</v>
      </c>
      <c r="C70" s="118">
        <f>IF(C59="ja",F67,F68)</f>
        <v>1800</v>
      </c>
      <c r="D70" t="s">
        <v>36</v>
      </c>
      <c r="E70" s="12"/>
    </row>
    <row r="71" spans="1:4" ht="15.75">
      <c r="A71" t="s">
        <v>273</v>
      </c>
      <c r="B71" t="s">
        <v>151</v>
      </c>
      <c r="C71" s="41">
        <f>C64</f>
        <v>1.4E-05</v>
      </c>
      <c r="D71" s="25" t="s">
        <v>33</v>
      </c>
    </row>
    <row r="72" spans="1:4" ht="15.75">
      <c r="A72" t="s">
        <v>238</v>
      </c>
      <c r="B72" t="s">
        <v>152</v>
      </c>
      <c r="C72" s="6">
        <f>C66/C52</f>
        <v>127690.80322354582</v>
      </c>
      <c r="D72" t="s">
        <v>36</v>
      </c>
    </row>
    <row r="73" spans="1:3" ht="15.75">
      <c r="A73" t="s">
        <v>239</v>
      </c>
      <c r="B73" t="s">
        <v>153</v>
      </c>
      <c r="C73" s="14">
        <f>POWER(e,-C70/C72)</f>
        <v>0.9860023395376436</v>
      </c>
    </row>
    <row r="74" spans="5:7" ht="15.75">
      <c r="E74" s="49" t="s">
        <v>37</v>
      </c>
      <c r="F74" s="43" t="s">
        <v>105</v>
      </c>
      <c r="G74" s="44"/>
    </row>
    <row r="75" spans="3:7" ht="12.75">
      <c r="C75" s="16"/>
      <c r="E75" s="49"/>
      <c r="F75" s="51" t="s">
        <v>38</v>
      </c>
      <c r="G75" s="45" t="s">
        <v>39</v>
      </c>
    </row>
    <row r="76" spans="1:7" ht="15.75">
      <c r="A76" t="s">
        <v>240</v>
      </c>
      <c r="B76" t="s">
        <v>156</v>
      </c>
      <c r="C76" s="54">
        <v>0.99</v>
      </c>
      <c r="D76" s="16" t="s">
        <v>98</v>
      </c>
      <c r="E76" s="50" t="s">
        <v>40</v>
      </c>
      <c r="F76" s="52">
        <v>0.99</v>
      </c>
      <c r="G76" s="46">
        <v>0.99</v>
      </c>
    </row>
    <row r="77" spans="1:7" ht="15.75">
      <c r="A77" t="s">
        <v>241</v>
      </c>
      <c r="B77" t="s">
        <v>155</v>
      </c>
      <c r="C77" s="54">
        <v>0.99</v>
      </c>
      <c r="D77" s="16" t="s">
        <v>99</v>
      </c>
      <c r="E77" s="32" t="s">
        <v>41</v>
      </c>
      <c r="F77" s="31">
        <v>0.99</v>
      </c>
      <c r="G77" s="117">
        <v>0.995</v>
      </c>
    </row>
    <row r="78" spans="1:7" ht="15.75">
      <c r="A78" t="s">
        <v>242</v>
      </c>
      <c r="B78" t="s">
        <v>157</v>
      </c>
      <c r="C78" s="54">
        <v>0.995</v>
      </c>
      <c r="D78" s="16" t="s">
        <v>100</v>
      </c>
      <c r="E78" s="32" t="s">
        <v>42</v>
      </c>
      <c r="F78" s="31">
        <v>0.995</v>
      </c>
      <c r="G78" s="47">
        <v>0.995</v>
      </c>
    </row>
    <row r="79" spans="1:7" ht="15.75">
      <c r="A79" t="s">
        <v>243</v>
      </c>
      <c r="B79" t="s">
        <v>158</v>
      </c>
      <c r="C79" s="54">
        <v>0.98</v>
      </c>
      <c r="D79" s="16" t="s">
        <v>101</v>
      </c>
      <c r="E79" s="32" t="s">
        <v>43</v>
      </c>
      <c r="F79" s="31">
        <v>0.98</v>
      </c>
      <c r="G79" s="47">
        <v>0.98</v>
      </c>
    </row>
    <row r="80" spans="1:7" ht="15.75">
      <c r="A80" t="s">
        <v>244</v>
      </c>
      <c r="B80" t="s">
        <v>159</v>
      </c>
      <c r="C80" s="54">
        <v>0.99</v>
      </c>
      <c r="D80" s="16" t="s">
        <v>102</v>
      </c>
      <c r="E80" s="32" t="s">
        <v>44</v>
      </c>
      <c r="F80" s="31">
        <v>0.99</v>
      </c>
      <c r="G80" s="47">
        <v>0.99</v>
      </c>
    </row>
    <row r="81" spans="1:7" ht="15.75">
      <c r="A81" t="s">
        <v>245</v>
      </c>
      <c r="B81" t="s">
        <v>160</v>
      </c>
      <c r="C81" s="54">
        <v>0.992</v>
      </c>
      <c r="D81" s="16" t="s">
        <v>103</v>
      </c>
      <c r="E81" s="33" t="s">
        <v>45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246</v>
      </c>
      <c r="B83" t="s">
        <v>161</v>
      </c>
      <c r="C83" s="14">
        <f>C78*C79*C67*C80*C81</f>
        <v>0.5962091612628007</v>
      </c>
      <c r="E83" s="9"/>
      <c r="F83" s="9"/>
    </row>
    <row r="84" spans="1:6" ht="15.75">
      <c r="A84" t="s">
        <v>272</v>
      </c>
      <c r="B84" t="s">
        <v>162</v>
      </c>
      <c r="C84" s="14">
        <f>C79*C68*C73*C80</f>
        <v>0.923861896475799</v>
      </c>
      <c r="E84" s="9"/>
      <c r="F84" s="9"/>
    </row>
    <row r="85" spans="1:6" ht="15.75">
      <c r="A85" t="s">
        <v>247</v>
      </c>
      <c r="B85" t="s">
        <v>163</v>
      </c>
      <c r="C85" s="14">
        <f>C83*C84</f>
        <v>0.5508149264204965</v>
      </c>
      <c r="E85" s="9"/>
      <c r="F85" s="9"/>
    </row>
    <row r="86" spans="1:6" ht="15.75">
      <c r="A86" t="s">
        <v>248</v>
      </c>
      <c r="B86" t="s">
        <v>164</v>
      </c>
      <c r="C86" s="14">
        <f>1-C85</f>
        <v>0.44918507357950355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274</v>
      </c>
      <c r="B88" t="s">
        <v>165</v>
      </c>
      <c r="C88" s="14">
        <f>0.23+1.04*C44</f>
        <v>0.47205600506231343</v>
      </c>
      <c r="E88" s="9" t="s">
        <v>49</v>
      </c>
      <c r="F88" s="9"/>
    </row>
    <row r="89" spans="1:6" ht="15.75">
      <c r="A89" t="s">
        <v>274</v>
      </c>
      <c r="B89" t="s">
        <v>165</v>
      </c>
      <c r="C89" s="55" t="s">
        <v>57</v>
      </c>
      <c r="E89" s="9" t="s">
        <v>104</v>
      </c>
      <c r="F89" s="9"/>
    </row>
    <row r="90" spans="1:6" ht="15.75">
      <c r="A90" t="s">
        <v>274</v>
      </c>
      <c r="B90" t="s">
        <v>165</v>
      </c>
      <c r="C90" s="56">
        <f>C88</f>
        <v>0.47205600506231343</v>
      </c>
      <c r="E90" s="12" t="s">
        <v>97</v>
      </c>
      <c r="F90" s="9"/>
    </row>
    <row r="91" spans="3:5" ht="12.75">
      <c r="C91" s="56"/>
      <c r="E91" s="9"/>
    </row>
    <row r="92" spans="1:5" ht="12.75">
      <c r="A92" s="16" t="s">
        <v>305</v>
      </c>
      <c r="B92" t="s">
        <v>264</v>
      </c>
      <c r="C92" s="55" t="s">
        <v>189</v>
      </c>
      <c r="E92" s="12" t="s">
        <v>97</v>
      </c>
    </row>
    <row r="93" spans="2:3" ht="12.75">
      <c r="B93" t="s">
        <v>167</v>
      </c>
      <c r="C93" s="72" t="str">
        <f>IF(C92="ja","nein","ja")</f>
        <v>ja</v>
      </c>
    </row>
    <row r="94" spans="1:8" ht="15.75">
      <c r="A94" t="s">
        <v>290</v>
      </c>
      <c r="B94" s="85" t="s">
        <v>168</v>
      </c>
      <c r="C94" s="87">
        <f>IF(C92="ja",G95,H95)</f>
        <v>97.5</v>
      </c>
      <c r="D94" t="s">
        <v>46</v>
      </c>
      <c r="E94" s="49" t="s">
        <v>169</v>
      </c>
      <c r="F94" s="91"/>
      <c r="G94" s="45" t="s">
        <v>166</v>
      </c>
      <c r="H94" s="45" t="s">
        <v>167</v>
      </c>
    </row>
    <row r="95" spans="1:8" ht="15.75">
      <c r="A95" t="s">
        <v>275</v>
      </c>
      <c r="B95" t="s">
        <v>170</v>
      </c>
      <c r="C95" s="25">
        <v>217</v>
      </c>
      <c r="E95" s="86" t="s">
        <v>168</v>
      </c>
      <c r="F95" s="1"/>
      <c r="G95" s="88">
        <v>93</v>
      </c>
      <c r="H95" s="80">
        <v>97.5</v>
      </c>
    </row>
    <row r="96" spans="1:4" ht="15.75">
      <c r="A96" t="s">
        <v>249</v>
      </c>
      <c r="B96" t="s">
        <v>172</v>
      </c>
      <c r="C96" s="25">
        <v>0</v>
      </c>
      <c r="D96" s="25" t="s">
        <v>46</v>
      </c>
    </row>
    <row r="97" spans="1:4" ht="15.75">
      <c r="A97" t="s">
        <v>250</v>
      </c>
      <c r="B97" t="s">
        <v>171</v>
      </c>
      <c r="C97" s="57">
        <f>C94*C95+C96</f>
        <v>21157.5</v>
      </c>
      <c r="D97" s="58" t="s">
        <v>46</v>
      </c>
    </row>
    <row r="98" ht="12.75">
      <c r="C98" s="14"/>
    </row>
    <row r="99" spans="1:4" ht="15.75">
      <c r="A99" t="s">
        <v>251</v>
      </c>
      <c r="B99" t="s">
        <v>173</v>
      </c>
      <c r="C99" s="57">
        <f>C97/(1-C86-C90)</f>
        <v>268636.23365001485</v>
      </c>
      <c r="D99" s="58" t="s">
        <v>46</v>
      </c>
    </row>
    <row r="100" spans="1:4" ht="15.75">
      <c r="A100" t="s">
        <v>252</v>
      </c>
      <c r="B100" t="s">
        <v>174</v>
      </c>
      <c r="C100" s="57">
        <f>C99*'1.) Dimensionierung'!C31</f>
        <v>201477.17523751114</v>
      </c>
      <c r="D100" s="58" t="s">
        <v>46</v>
      </c>
    </row>
    <row r="101" spans="1:4" ht="15.75">
      <c r="A101" t="s">
        <v>253</v>
      </c>
      <c r="B101" t="s">
        <v>175</v>
      </c>
      <c r="C101" s="57">
        <f>C99*C90</f>
        <v>126811.34727181222</v>
      </c>
      <c r="D101" s="58" t="s">
        <v>46</v>
      </c>
    </row>
    <row r="102" spans="1:4" ht="15.75">
      <c r="A102" t="s">
        <v>291</v>
      </c>
      <c r="B102" t="s">
        <v>292</v>
      </c>
      <c r="C102" s="57">
        <f>C99*C86</f>
        <v>120667.38637820263</v>
      </c>
      <c r="D102" s="58" t="s">
        <v>46</v>
      </c>
    </row>
    <row r="103" spans="1:4" ht="15.75">
      <c r="A103" t="s">
        <v>254</v>
      </c>
      <c r="B103" t="s">
        <v>176</v>
      </c>
      <c r="C103" s="57">
        <f>C99/C43</f>
        <v>426.0098371376617</v>
      </c>
      <c r="D103" s="58" t="s">
        <v>47</v>
      </c>
    </row>
    <row r="104" spans="1:5" ht="15.75">
      <c r="A104" t="s">
        <v>255</v>
      </c>
      <c r="B104" t="s">
        <v>177</v>
      </c>
      <c r="C104" s="6">
        <f>C99*g*C44</f>
        <v>613360.9449537975</v>
      </c>
      <c r="D104" t="s">
        <v>48</v>
      </c>
      <c r="E104" s="16" t="s">
        <v>50</v>
      </c>
    </row>
    <row r="105" spans="1:5" ht="15.75">
      <c r="A105" t="s">
        <v>256</v>
      </c>
      <c r="B105" t="s">
        <v>178</v>
      </c>
      <c r="C105" s="57">
        <f>C104/'1.) Dimensionierung'!C58</f>
        <v>306680.47247689875</v>
      </c>
      <c r="D105" s="58" t="s">
        <v>48</v>
      </c>
      <c r="E105" s="16" t="s">
        <v>51</v>
      </c>
    </row>
    <row r="106" spans="1:5" ht="15.75">
      <c r="A106" t="s">
        <v>256</v>
      </c>
      <c r="B106" t="s">
        <v>178</v>
      </c>
      <c r="C106" s="6">
        <f>C105*0.2248</f>
        <v>68941.77021280683</v>
      </c>
      <c r="D106" t="s">
        <v>52</v>
      </c>
      <c r="E106" s="16" t="s">
        <v>51</v>
      </c>
    </row>
    <row r="108" spans="1:4" ht="15.75">
      <c r="A108" t="s">
        <v>257</v>
      </c>
      <c r="B108" t="s">
        <v>179</v>
      </c>
      <c r="C108" s="6">
        <f>C99*(1-C76*C77*C85)</f>
        <v>123611.9664389117</v>
      </c>
      <c r="D108" t="s">
        <v>46</v>
      </c>
    </row>
    <row r="109" spans="1:4" ht="15.75">
      <c r="A109" t="s">
        <v>258</v>
      </c>
      <c r="B109" s="4" t="s">
        <v>180</v>
      </c>
      <c r="C109" s="74">
        <v>800</v>
      </c>
      <c r="D109" s="74" t="s">
        <v>7</v>
      </c>
    </row>
    <row r="110" spans="1:5" ht="15.75">
      <c r="A110" t="s">
        <v>259</v>
      </c>
      <c r="B110" t="s">
        <v>181</v>
      </c>
      <c r="C110" s="76">
        <f>C108/C109</f>
        <v>154.5149580486396</v>
      </c>
      <c r="D110" s="58" t="s">
        <v>53</v>
      </c>
      <c r="E110" t="s">
        <v>293</v>
      </c>
    </row>
    <row r="112" spans="1:4" ht="15.75">
      <c r="A112" t="s">
        <v>260</v>
      </c>
      <c r="B112" t="s">
        <v>182</v>
      </c>
      <c r="C112" s="42">
        <f>C97</f>
        <v>21157.5</v>
      </c>
      <c r="D112" s="25" t="s">
        <v>46</v>
      </c>
    </row>
    <row r="113" spans="1:4" ht="15.75">
      <c r="A113" t="s">
        <v>261</v>
      </c>
      <c r="B113" t="s">
        <v>183</v>
      </c>
      <c r="C113" s="6">
        <f>C101+C112</f>
        <v>147968.8472718122</v>
      </c>
      <c r="D113" t="s">
        <v>46</v>
      </c>
    </row>
    <row r="114" spans="1:4" ht="15.75">
      <c r="A114" t="s">
        <v>311</v>
      </c>
      <c r="B114" t="s">
        <v>312</v>
      </c>
      <c r="C114" s="6">
        <f>C101+C97</f>
        <v>147968.8472718122</v>
      </c>
      <c r="D114" t="s">
        <v>46</v>
      </c>
    </row>
    <row r="116" spans="1:4" ht="15.75">
      <c r="A116" t="s">
        <v>289</v>
      </c>
      <c r="B116" t="s">
        <v>184</v>
      </c>
      <c r="C116" s="6">
        <f>C99*(1-C84)</f>
        <v>20453.453367996288</v>
      </c>
      <c r="D116" t="s">
        <v>46</v>
      </c>
    </row>
    <row r="118" spans="1:7" ht="15.75">
      <c r="A118" t="s">
        <v>263</v>
      </c>
      <c r="B118" t="s">
        <v>54</v>
      </c>
      <c r="C118" s="102" t="s">
        <v>262</v>
      </c>
      <c r="E118" s="23" t="s">
        <v>56</v>
      </c>
      <c r="F118" s="23" t="s">
        <v>313</v>
      </c>
      <c r="G118" s="16" t="s">
        <v>55</v>
      </c>
    </row>
    <row r="119" spans="3:7" ht="12.75">
      <c r="C119" s="6">
        <f>C100</f>
        <v>201477.17523751114</v>
      </c>
      <c r="D119" t="s">
        <v>46</v>
      </c>
      <c r="E119" s="23" t="s">
        <v>56</v>
      </c>
      <c r="F119" s="6">
        <f>C114+C116</f>
        <v>168422.3006398085</v>
      </c>
      <c r="G119" t="s">
        <v>46</v>
      </c>
    </row>
    <row r="120" ht="12.75">
      <c r="E120" s="89" t="str">
        <f>IF(C100&gt;C113+C116,"ja","nein")</f>
        <v>ja</v>
      </c>
    </row>
    <row r="121" ht="12.75">
      <c r="E121" s="90" t="str">
        <f>IF(E120="ja","Dimensionierung erfolgreich beendet!","Erhöhen Sie den Wert mML/mMTO unter '1.) Dimensionierung' !")</f>
        <v>Dimensionierung erfolgreich beendet!</v>
      </c>
    </row>
  </sheetData>
  <sheetProtection/>
  <dataValidations count="1">
    <dataValidation type="list" allowBlank="1" showInputMessage="1" showErrorMessage="1" sqref="C92 C59">
      <formula1>"ja, nein"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7256" r:id="rId2"/>
    <oleObject progId="Equation.3" shapeId="158617" r:id="rId3"/>
    <oleObject progId="Equation.3" shapeId="220058" r:id="rId4"/>
    <oleObject progId="Equation.3" shapeId="221290" r:id="rId5"/>
    <oleObject progId="Equation.3" shapeId="25872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