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Override PartName="/xl/embeddings/oleObject_1_12.bin" ContentType="application/vnd.openxmlformats-officedocument.oleObject"/>
  <Override PartName="/xl/embeddings/oleObject_1_13.bin" ContentType="application/vnd.openxmlformats-officedocument.oleObject"/>
  <Override PartName="/xl/embeddings/oleObject_1_14.bin" ContentType="application/vnd.openxmlformats-officedocument.oleObject"/>
  <Override PartName="/xl/embeddings/oleObject_1_15.bin" ContentType="application/vnd.openxmlformats-officedocument.oleObject"/>
  <Override PartName="/xl/embeddings/oleObject_1_16.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6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8700" tabRatio="815" activeTab="0"/>
  </bookViews>
  <sheets>
    <sheet name="Polars" sheetId="1" r:id="rId1"/>
    <sheet name="Ranges" sheetId="2" r:id="rId2"/>
    <sheet name="Plots vs Speed" sheetId="3" r:id="rId3"/>
    <sheet name="Climb + Ceiling" sheetId="4" r:id="rId4"/>
    <sheet name="Thrust vs Drag" sheetId="5" r:id="rId5"/>
    <sheet name="Basic Aircraft" sheetId="6" r:id="rId6"/>
    <sheet name="E-Motor" sheetId="7" r:id="rId7"/>
    <sheet name="IC Engine" sheetId="8" r:id="rId8"/>
    <sheet name="Mission" sheetId="9" r:id="rId9"/>
    <sheet name="Polars2" sheetId="10" r:id="rId10"/>
    <sheet name="Climb hyb" sheetId="11" r:id="rId11"/>
    <sheet name="Fuel Climb" sheetId="12" r:id="rId12"/>
  </sheets>
  <definedNames>
    <definedName name="_xlnm.Print_Area" localSheetId="3">'Climb + Ceiling'!$A$1:$Q$109</definedName>
    <definedName name="_xlnm.Print_Area" localSheetId="10">'Climb hyb'!$A$1:$Q$103</definedName>
    <definedName name="_xlnm.Print_Area" localSheetId="6">'E-Motor'!$A$1:$O$97</definedName>
    <definedName name="_xlnm.Print_Area" localSheetId="11">'Fuel Climb'!$A$1:$N$45</definedName>
    <definedName name="_xlnm.Print_Area" localSheetId="7">'IC Engine'!$A$1:$I$72</definedName>
    <definedName name="_xlnm.Print_Area" localSheetId="8">'Mission'!$A$1:$L$86</definedName>
    <definedName name="_xlnm.Print_Area" localSheetId="2">'Plots vs Speed'!$A$1:$W$81</definedName>
    <definedName name="_xlnm.Print_Area" localSheetId="0">'Polars'!$A$1:$P$153</definedName>
    <definedName name="_xlnm.Print_Area" localSheetId="9">'Polars2'!$A$1:$P$111</definedName>
    <definedName name="_xlnm.Print_Area" localSheetId="1">'Ranges'!$A$1:$P$120</definedName>
    <definedName name="_xlnm.Print_Area" localSheetId="4">'Thrust vs Drag'!$A$1:$Y$102</definedName>
  </definedNames>
  <calcPr fullCalcOnLoad="1"/>
</workbook>
</file>

<file path=xl/sharedStrings.xml><?xml version="1.0" encoding="utf-8"?>
<sst xmlns="http://schemas.openxmlformats.org/spreadsheetml/2006/main" count="992" uniqueCount="384">
  <si>
    <t>Symbol</t>
  </si>
  <si>
    <t>Unit</t>
  </si>
  <si>
    <t xml:space="preserve">Value </t>
  </si>
  <si>
    <t>Wing area</t>
  </si>
  <si>
    <t>S</t>
  </si>
  <si>
    <t>Wing span</t>
  </si>
  <si>
    <t>b</t>
  </si>
  <si>
    <t>cT</t>
  </si>
  <si>
    <t>* real units do not matter as long as cT and cR are both of the same unit</t>
  </si>
  <si>
    <t>cR</t>
  </si>
  <si>
    <t>dP</t>
  </si>
  <si>
    <t>m</t>
  </si>
  <si>
    <t>CD0</t>
  </si>
  <si>
    <t>Number of engines ON TOP OF wing</t>
  </si>
  <si>
    <t>Ne</t>
  </si>
  <si>
    <t>Sweep angle (25% line)</t>
  </si>
  <si>
    <t>φ25</t>
  </si>
  <si>
    <t>Relative thickness of wing section</t>
  </si>
  <si>
    <t>t/c</t>
  </si>
  <si>
    <t>Maximum continous power of engine</t>
  </si>
  <si>
    <t>PScont</t>
  </si>
  <si>
    <t>Aspect ratio</t>
  </si>
  <si>
    <t>A</t>
  </si>
  <si>
    <t>Taper ratio</t>
  </si>
  <si>
    <t>λ</t>
  </si>
  <si>
    <t>M</t>
  </si>
  <si>
    <t>e</t>
  </si>
  <si>
    <t>f(λ)</t>
  </si>
  <si>
    <t>Caution: All speeds are equivalent air speed, VE</t>
  </si>
  <si>
    <t>knots</t>
  </si>
  <si>
    <t>Minimum drag speed</t>
  </si>
  <si>
    <t>VEmd</t>
  </si>
  <si>
    <t>Minimum drag</t>
  </si>
  <si>
    <t>Dmin</t>
  </si>
  <si>
    <t>Maximum lift-to-drag ratio</t>
  </si>
  <si>
    <t>Emax</t>
  </si>
  <si>
    <t>Minimum power speed</t>
  </si>
  <si>
    <t>Minimum power</t>
  </si>
  <si>
    <t>PDmin</t>
  </si>
  <si>
    <t>CL</t>
  </si>
  <si>
    <t>CD</t>
  </si>
  <si>
    <t>Lift-to-drag ratio of minimum power speed</t>
  </si>
  <si>
    <t>E</t>
  </si>
  <si>
    <t>Emax Line</t>
  </si>
  <si>
    <t>VE (m/s)</t>
  </si>
  <si>
    <t>VvE (m/s)</t>
  </si>
  <si>
    <t>VE (kts)</t>
  </si>
  <si>
    <t>VvE (ft/min)</t>
  </si>
  <si>
    <t>Glide ratio 
≈E</t>
  </si>
  <si>
    <t>Data from original Flight Manual</t>
  </si>
  <si>
    <t>Fuel flow</t>
  </si>
  <si>
    <t>Q</t>
  </si>
  <si>
    <t>Fuel flow related speed (TAS)</t>
  </si>
  <si>
    <t>Air density</t>
  </si>
  <si>
    <t>ρ</t>
  </si>
  <si>
    <t>Fuel flow related aircraft mass</t>
  </si>
  <si>
    <t>Lift coefficient</t>
  </si>
  <si>
    <t>Drag coefficient</t>
  </si>
  <si>
    <t>Lift-to-drag ratio</t>
  </si>
  <si>
    <t>ηP</t>
  </si>
  <si>
    <t>Specific fuel consumption</t>
  </si>
  <si>
    <t>c'</t>
  </si>
  <si>
    <t>Maximum fuel volume</t>
  </si>
  <si>
    <t>VF</t>
  </si>
  <si>
    <t>Maximum fuel mass</t>
  </si>
  <si>
    <t>mF</t>
  </si>
  <si>
    <t>Maximum zero fuel mass</t>
  </si>
  <si>
    <t>m2</t>
  </si>
  <si>
    <t>Lift Coefficient</t>
  </si>
  <si>
    <t>Drag Coefficient</t>
  </si>
  <si>
    <t>Lift-to-drag ratio (here: Emax)</t>
  </si>
  <si>
    <t>E (Emax)</t>
  </si>
  <si>
    <t>Drag (here minimum)</t>
  </si>
  <si>
    <t>D (Dmin)</t>
  </si>
  <si>
    <t>Drag power = thrust power</t>
  </si>
  <si>
    <t>PT</t>
  </si>
  <si>
    <t>Propeller efficiency</t>
  </si>
  <si>
    <t>Shaft power</t>
  </si>
  <si>
    <t>PS</t>
  </si>
  <si>
    <t>Range for flight schedules 1 and 2
1: const. altitude &amp; lift coefficient
2: const. airspeed &amp; lift coefficient</t>
  </si>
  <si>
    <t>R1 / R2</t>
  </si>
  <si>
    <t>Range for flight schedule 3
3: const. altitude &amp; airspeed</t>
  </si>
  <si>
    <t>R3</t>
  </si>
  <si>
    <t>B3</t>
  </si>
  <si>
    <t>Endurance for flight schedule 1</t>
  </si>
  <si>
    <t>t1</t>
  </si>
  <si>
    <t>Endurance for flight schedule 2</t>
  </si>
  <si>
    <t>t2</t>
  </si>
  <si>
    <t>Endurance for flight schedule 3</t>
  </si>
  <si>
    <t>t3</t>
  </si>
  <si>
    <t>Drag</t>
  </si>
  <si>
    <t>Drag power = thrust power (here minimum)</t>
  </si>
  <si>
    <t>Speed</t>
  </si>
  <si>
    <t>D</t>
  </si>
  <si>
    <t>Note: For idealised piston engine aircraft, the maximum rate of climb is achieved by flying at the minimum power speed VEmp.</t>
  </si>
  <si>
    <t>Propeller efficiency (of VEmp)</t>
  </si>
  <si>
    <t>Maximum continous shaft power</t>
  </si>
  <si>
    <t>Drag (of VEmp)</t>
  </si>
  <si>
    <t>ft/min</t>
  </si>
  <si>
    <t>m/s</t>
  </si>
  <si>
    <t>@ m/s</t>
  </si>
  <si>
    <t>=</t>
  </si>
  <si>
    <t>@</t>
  </si>
  <si>
    <t>km/h</t>
  </si>
  <si>
    <t>Data from the original flight manual:</t>
  </si>
  <si>
    <t>max ROC at MSL</t>
  </si>
  <si>
    <t>Vmax</t>
  </si>
  <si>
    <t>Note: For idealised piston engine aircraft, the absolute ceiling 
         is achieved by flying at the minimum power speed VEmp.</t>
  </si>
  <si>
    <t>constant values for all altitudes</t>
  </si>
  <si>
    <t>alt</t>
  </si>
  <si>
    <t>ft</t>
  </si>
  <si>
    <t>kg/m³</t>
  </si>
  <si>
    <t>σ</t>
  </si>
  <si>
    <r>
      <t xml:space="preserve">Flight Mach number </t>
    </r>
    <r>
      <rPr>
        <sz val="8"/>
        <rFont val="Arial"/>
        <family val="2"/>
      </rPr>
      <t>(for estimation of Oswald's efficiency factor)</t>
    </r>
    <r>
      <rPr>
        <sz val="10"/>
        <rFont val="Arial"/>
        <family val="0"/>
      </rPr>
      <t xml:space="preserve">
</t>
    </r>
    <r>
      <rPr>
        <sz val="10"/>
        <color indexed="10"/>
        <rFont val="Arial"/>
        <family val="2"/>
      </rPr>
      <t>Note: Speed of sound at MSL is 340 m/s</t>
    </r>
  </si>
  <si>
    <r>
      <t xml:space="preserve">Oswald's efficiency factor </t>
    </r>
    <r>
      <rPr>
        <sz val="8"/>
        <rFont val="Arial"/>
        <family val="2"/>
      </rPr>
      <t>(acc. Howe)</t>
    </r>
  </si>
  <si>
    <r>
      <t xml:space="preserve">Fuel density
</t>
    </r>
    <r>
      <rPr>
        <sz val="10"/>
        <color indexed="10"/>
        <rFont val="Arial"/>
        <family val="2"/>
      </rPr>
      <t>Note: Density of Avgas 100LL is 0,72 kg/l</t>
    </r>
  </si>
  <si>
    <r>
      <t xml:space="preserve">Propeller efficiency </t>
    </r>
    <r>
      <rPr>
        <sz val="8"/>
        <rFont val="Arial"/>
        <family val="2"/>
      </rPr>
      <t>(acc. Stinton)</t>
    </r>
    <r>
      <rPr>
        <sz val="10"/>
        <rFont val="Arial"/>
        <family val="0"/>
      </rPr>
      <t xml:space="preserve">
</t>
    </r>
    <r>
      <rPr>
        <sz val="10"/>
        <color indexed="10"/>
        <rFont val="Arial"/>
        <family val="2"/>
      </rPr>
      <t>Caution: Propeller efficiency is related to speed</t>
    </r>
  </si>
  <si>
    <r>
      <t xml:space="preserve">Maximum rate of climb (ROC)
</t>
    </r>
    <r>
      <rPr>
        <sz val="9"/>
        <color indexed="10"/>
        <rFont val="Arial"/>
        <family val="2"/>
      </rPr>
      <t>Caution: Does this value correspond to the table below?</t>
    </r>
  </si>
  <si>
    <r>
      <t xml:space="preserve">Maximum level speed (at MSL)
</t>
    </r>
    <r>
      <rPr>
        <sz val="9"/>
        <color indexed="10"/>
        <rFont val="Arial"/>
        <family val="2"/>
      </rPr>
      <t>Note: The maximum level speed is given by the intersection of 
         VvE-curve and X-axis in the chart below.</t>
    </r>
  </si>
  <si>
    <t>Mission results</t>
  </si>
  <si>
    <t>Distance flown (still air)</t>
  </si>
  <si>
    <t>km</t>
  </si>
  <si>
    <t>Time enroute</t>
  </si>
  <si>
    <t>h</t>
  </si>
  <si>
    <t>kW</t>
  </si>
  <si>
    <t>l/h</t>
  </si>
  <si>
    <t>kg/h</t>
  </si>
  <si>
    <t>l</t>
  </si>
  <si>
    <t>kg</t>
  </si>
  <si>
    <t>Fuel price</t>
  </si>
  <si>
    <t>€/l</t>
  </si>
  <si>
    <t>€</t>
  </si>
  <si>
    <t>Altitude</t>
  </si>
  <si>
    <t>Cruise speed (TAS)</t>
  </si>
  <si>
    <t>↑ or ↓</t>
  </si>
  <si>
    <t>1.1 Description of reference aircraft</t>
  </si>
  <si>
    <t>1.2 Determination of drag and flight polar</t>
  </si>
  <si>
    <t>1.4 Determination of range and endurance</t>
  </si>
  <si>
    <t>1.4.1 Ranges and endurances at minimum drag speed (VEmd) and MSL</t>
  </si>
  <si>
    <t>1.4.2 Ranges and endurances at minimum power speed (VEmp) and MSL</t>
  </si>
  <si>
    <t>1.4.3 Ranges and endurances at MSL and any speed of interest</t>
  </si>
  <si>
    <t>1.8 Determination of absolute ceiling</t>
  </si>
  <si>
    <t>1.9 Thrust Power vs. Drag Power at different altitudes</t>
  </si>
  <si>
    <t>2.1 Collection of unpowered aircraft characteristics</t>
  </si>
  <si>
    <t>Oswald's efficiency factor</t>
  </si>
  <si>
    <t>Lift-independent drag coefficient</t>
  </si>
  <si>
    <t>Lift-independent drag coefficient (zero-lift)</t>
  </si>
  <si>
    <t>Previous aircraft mass</t>
  </si>
  <si>
    <t>@ ρFuel=</t>
  </si>
  <si>
    <t>Mass of standard internal combustion engine</t>
  </si>
  <si>
    <t>mnp</t>
  </si>
  <si>
    <t>Battery mass</t>
  </si>
  <si>
    <t>mbat</t>
  </si>
  <si>
    <t>2.2 Setup of new power supply</t>
  </si>
  <si>
    <t>Standard payload mass</t>
  </si>
  <si>
    <t>mpl</t>
  </si>
  <si>
    <t>Aircraft mass - no power source</t>
  </si>
  <si>
    <r>
      <t xml:space="preserve">IC engine mass
</t>
    </r>
    <r>
      <rPr>
        <sz val="10"/>
        <color indexed="10"/>
        <rFont val="Arial"/>
        <family val="2"/>
      </rPr>
      <t>Note: Estimation on Sheet "IC Engine"</t>
    </r>
  </si>
  <si>
    <r>
      <t xml:space="preserve">E-motor mass
</t>
    </r>
    <r>
      <rPr>
        <sz val="10"/>
        <color indexed="10"/>
        <rFont val="Arial"/>
        <family val="2"/>
      </rPr>
      <t>Note: Estimation on Sheet "E-Motor"</t>
    </r>
  </si>
  <si>
    <r>
      <t xml:space="preserve">Mass of e-motor control devices
</t>
    </r>
    <r>
      <rPr>
        <sz val="10"/>
        <color indexed="10"/>
        <rFont val="Arial"/>
        <family val="2"/>
      </rPr>
      <t>Note: Estimation on Sheet "E-Motor"</t>
    </r>
  </si>
  <si>
    <t>mem</t>
  </si>
  <si>
    <t>mics</t>
  </si>
  <si>
    <t>mic</t>
  </si>
  <si>
    <t>memc</t>
  </si>
  <si>
    <t>PSe</t>
  </si>
  <si>
    <t>PML EW Series</t>
  </si>
  <si>
    <t>Antares</t>
  </si>
  <si>
    <t>Icaré 2</t>
  </si>
  <si>
    <t>AE-1 Silent</t>
  </si>
  <si>
    <t>Project: electric racing a/c</t>
  </si>
  <si>
    <t>Factor:</t>
  </si>
  <si>
    <t>Exponent:</t>
  </si>
  <si>
    <t>E-motor shaft power</t>
  </si>
  <si>
    <r>
      <t xml:space="preserve">E-motor mass </t>
    </r>
    <r>
      <rPr>
        <sz val="8"/>
        <rFont val="Arial"/>
        <family val="2"/>
      </rPr>
      <t>acc. Rubber motor method</t>
    </r>
  </si>
  <si>
    <t>Choose a reference motor from the chart below and insert its function's factor and exponent.</t>
  </si>
  <si>
    <r>
      <t xml:space="preserve">E-motor control device mass </t>
    </r>
    <r>
      <rPr>
        <sz val="8"/>
        <rFont val="Arial"/>
        <family val="2"/>
      </rPr>
      <t>acc. Icaré 2
e.g. frequency generator</t>
    </r>
  </si>
  <si>
    <t>1.3 Determination of specific fuel consumption (SFC)</t>
  </si>
  <si>
    <t>Hirth</t>
  </si>
  <si>
    <t>Jabiru</t>
  </si>
  <si>
    <t>Limbach</t>
  </si>
  <si>
    <t>Rotax</t>
  </si>
  <si>
    <t>Arrow</t>
  </si>
  <si>
    <t>Teledyne Continental</t>
  </si>
  <si>
    <t>Textron Lycoming</t>
  </si>
  <si>
    <t xml:space="preserve">kg </t>
  </si>
  <si>
    <t>CL2</t>
  </si>
  <si>
    <t>m1</t>
  </si>
  <si>
    <t>CD2</t>
  </si>
  <si>
    <t>E2</t>
  </si>
  <si>
    <t>D2</t>
  </si>
  <si>
    <t>PD2</t>
  </si>
  <si>
    <t>PS2</t>
  </si>
  <si>
    <t>Q2</t>
  </si>
  <si>
    <t>CL1</t>
  </si>
  <si>
    <t>CD1</t>
  </si>
  <si>
    <t>E1</t>
  </si>
  <si>
    <t>(E1+E2)/2</t>
  </si>
  <si>
    <t>D1</t>
  </si>
  <si>
    <t>Q1</t>
  </si>
  <si>
    <t>ρF</t>
  </si>
  <si>
    <t>mF ≈</t>
  </si>
  <si>
    <t>m1 ≈ Q*t+m2</t>
  </si>
  <si>
    <t>ηP2</t>
  </si>
  <si>
    <t>PD1</t>
  </si>
  <si>
    <t>PS1</t>
  </si>
  <si>
    <t>Aircraft mass at beginning of cruise (m1)</t>
  </si>
  <si>
    <t>Aircraft mass at end of cruise ( max zero fuel mass, m2)</t>
  </si>
  <si>
    <t>(Q1+Q2)/2</t>
  </si>
  <si>
    <t>Diesel Air / Thielert</t>
  </si>
  <si>
    <t>IC engine shaft power</t>
  </si>
  <si>
    <t>PSi</t>
  </si>
  <si>
    <t>mi</t>
  </si>
  <si>
    <t>Ee</t>
  </si>
  <si>
    <t>kWh</t>
  </si>
  <si>
    <t>Wh/kg</t>
  </si>
  <si>
    <t>mBat</t>
  </si>
  <si>
    <t>mBinst</t>
  </si>
  <si>
    <t>mB</t>
  </si>
  <si>
    <t>Mass of e-motor and control device</t>
  </si>
  <si>
    <t>me</t>
  </si>
  <si>
    <t>0. Iteration</t>
  </si>
  <si>
    <t>Factor e-mot</t>
  </si>
  <si>
    <t>Factor ic</t>
  </si>
  <si>
    <t>Summand ic</t>
  </si>
  <si>
    <t>1. Iteration</t>
  </si>
  <si>
    <t>N</t>
  </si>
  <si>
    <t>c*</t>
  </si>
  <si>
    <t>2. Iteration</t>
  </si>
  <si>
    <t>m1 ≈ Q2*t+m2</t>
  </si>
  <si>
    <t>3. Iteration</t>
  </si>
  <si>
    <t>Hirth / Rotax 1</t>
  </si>
  <si>
    <t>Rotax 2 / Arrow / Jabiru</t>
  </si>
  <si>
    <t>Summand:</t>
  </si>
  <si>
    <t>m²</t>
  </si>
  <si>
    <t>m*</t>
  </si>
  <si>
    <t>W</t>
  </si>
  <si>
    <t>Kg/l</t>
  </si>
  <si>
    <t>kg/Ws</t>
  </si>
  <si>
    <t xml:space="preserve">ηP
</t>
  </si>
  <si>
    <t>V
m/s</t>
  </si>
  <si>
    <t xml:space="preserve">CL
</t>
  </si>
  <si>
    <t xml:space="preserve">CD
</t>
  </si>
  <si>
    <t>PD
kW</t>
  </si>
  <si>
    <t>PT
kW</t>
  </si>
  <si>
    <t>(T/W)*VE
m/s</t>
  </si>
  <si>
    <t>(D/L)*VE
m/s</t>
  </si>
  <si>
    <t>VvE
m/s</t>
  </si>
  <si>
    <t>h
m</t>
  </si>
  <si>
    <t>h
ft</t>
  </si>
  <si>
    <t xml:space="preserve">σ
</t>
  </si>
  <si>
    <t>ρ
kg/m³</t>
  </si>
  <si>
    <t>PS
kW</t>
  </si>
  <si>
    <t>Vmp
m/s</t>
  </si>
  <si>
    <t>PS needed
kW</t>
  </si>
  <si>
    <t>ka
1/ft</t>
  </si>
  <si>
    <t>kg/l</t>
  </si>
  <si>
    <t>degrees</t>
  </si>
  <si>
    <t>D
N</t>
  </si>
  <si>
    <t>Mission definition</t>
  </si>
  <si>
    <t>ref a/c</t>
  </si>
  <si>
    <t>hyb a/c</t>
  </si>
  <si>
    <t>Energy density of batteries</t>
  </si>
  <si>
    <t>m2 (ref a/c)</t>
  </si>
  <si>
    <t>VFm (ref a/c)</t>
  </si>
  <si>
    <t>Exp e-mot</t>
  </si>
  <si>
    <t>Value</t>
  </si>
  <si>
    <t>Definition of hybrid engine</t>
  </si>
  <si>
    <t>Value
ref a/c</t>
  </si>
  <si>
    <t>Value
hyb a/c</t>
  </si>
  <si>
    <t>2.3 Estimation of e-motor characteristics</t>
  </si>
  <si>
    <t>2.4 Estimation of new internal combustion engine characteristics</t>
  </si>
  <si>
    <t>hcr</t>
  </si>
  <si>
    <t>Vcr</t>
  </si>
  <si>
    <t>scr</t>
  </si>
  <si>
    <t>pF</t>
  </si>
  <si>
    <t>tcr</t>
  </si>
  <si>
    <r>
      <t>ρ</t>
    </r>
    <r>
      <rPr>
        <sz val="10"/>
        <rFont val="Arial"/>
        <family val="2"/>
      </rPr>
      <t>E</t>
    </r>
  </si>
  <si>
    <t>f</t>
  </si>
  <si>
    <t>Fraction PSe / PS</t>
  </si>
  <si>
    <r>
      <t>Enduranc</t>
    </r>
    <r>
      <rPr>
        <sz val="10"/>
        <rFont val="Arial"/>
        <family val="2"/>
      </rPr>
      <t xml:space="preserve">e
                                   </t>
    </r>
    <r>
      <rPr>
        <b/>
        <sz val="10"/>
        <color indexed="10"/>
        <rFont val="Arial"/>
        <family val="2"/>
      </rPr>
      <t>OR</t>
    </r>
    <r>
      <rPr>
        <sz val="10"/>
        <rFont val="Arial"/>
        <family val="2"/>
      </rPr>
      <t xml:space="preserve">
Distance</t>
    </r>
  </si>
  <si>
    <t>rho</t>
  </si>
  <si>
    <t>1.5 Plot of ranges and endurances vs. speed</t>
  </si>
  <si>
    <t>1.7 Determination of climb performance vs. speed and maximum level speed at MSL</t>
  </si>
  <si>
    <t>vcr</t>
  </si>
  <si>
    <t>2.5 Investigation and comparison of level flight missions</t>
  </si>
  <si>
    <t>2.6 Determination of minimum drag and minimum power speed</t>
  </si>
  <si>
    <t>2.7 Determination and comparison of flight polars</t>
  </si>
  <si>
    <t>Chord at wing tip</t>
  </si>
  <si>
    <t>Chord at wing root</t>
  </si>
  <si>
    <t>Propeller diameter</t>
  </si>
  <si>
    <t>Aircraft mass</t>
  </si>
  <si>
    <t>VE,md</t>
  </si>
  <si>
    <t>VE,mp</t>
  </si>
  <si>
    <t>PD,min</t>
  </si>
  <si>
    <t>E (VE,mp)</t>
  </si>
  <si>
    <t>VQ</t>
  </si>
  <si>
    <t>VF,max</t>
  </si>
  <si>
    <t>mF,max</t>
  </si>
  <si>
    <t>Item</t>
  </si>
  <si>
    <t>R1 = R2
km</t>
  </si>
  <si>
    <t>R3
km</t>
  </si>
  <si>
    <t>t1
h</t>
  </si>
  <si>
    <t>t2
h</t>
  </si>
  <si>
    <t>t3
h</t>
  </si>
  <si>
    <t>PS,cont
kW</t>
  </si>
  <si>
    <t>1.6 Plot of drag, thrust power and shaft power vs. speed (at MSL)</t>
  </si>
  <si>
    <t>PS,cont</t>
  </si>
  <si>
    <t>Vv (Emax)</t>
  </si>
  <si>
    <t>PS,e</t>
  </si>
  <si>
    <t>PSe
kW</t>
  </si>
  <si>
    <t>mem
kg</t>
  </si>
  <si>
    <t>PS,e
kW</t>
  </si>
  <si>
    <r>
      <t xml:space="preserve">mem
</t>
    </r>
    <r>
      <rPr>
        <b/>
        <sz val="8"/>
        <rFont val="Arial"/>
        <family val="2"/>
      </rPr>
      <t>acc
Icaré 2</t>
    </r>
    <r>
      <rPr>
        <b/>
        <sz val="10"/>
        <rFont val="Arial"/>
        <family val="2"/>
      </rPr>
      <t xml:space="preserve">
kg</t>
    </r>
  </si>
  <si>
    <r>
      <t xml:space="preserve">mem
</t>
    </r>
    <r>
      <rPr>
        <b/>
        <sz val="8"/>
        <rFont val="Arial"/>
        <family val="2"/>
      </rPr>
      <t>acc
Silent</t>
    </r>
    <r>
      <rPr>
        <b/>
        <sz val="10"/>
        <rFont val="Arial"/>
        <family val="2"/>
      </rPr>
      <t xml:space="preserve">
kg</t>
    </r>
  </si>
  <si>
    <r>
      <t xml:space="preserve">mem
</t>
    </r>
    <r>
      <rPr>
        <b/>
        <sz val="8"/>
        <rFont val="Arial"/>
        <family val="2"/>
      </rPr>
      <t>acc
Antares</t>
    </r>
    <r>
      <rPr>
        <b/>
        <sz val="10"/>
        <rFont val="Arial"/>
        <family val="2"/>
      </rPr>
      <t xml:space="preserve">
kg</t>
    </r>
  </si>
  <si>
    <t>PS,i</t>
  </si>
  <si>
    <t>Shaft power needed (PS)</t>
  </si>
  <si>
    <t>Produced CO2 (mCO2)</t>
  </si>
  <si>
    <t>Fuel flow (Q)</t>
  </si>
  <si>
    <t>Fuel needed (VF, mF)</t>
  </si>
  <si>
    <t>2.8 Determination of climb performance vs. speed at MSL</t>
  </si>
  <si>
    <t>Emax Line Calculated</t>
  </si>
  <si>
    <t>Emax Line Flight Manual</t>
  </si>
  <si>
    <t>2.9 Determination of absolute ceiling</t>
  </si>
  <si>
    <t>habs</t>
  </si>
  <si>
    <r>
      <t xml:space="preserve">Absolute ceiling
</t>
    </r>
    <r>
      <rPr>
        <sz val="9"/>
        <color indexed="10"/>
        <rFont val="Arial"/>
        <family val="2"/>
      </rPr>
      <t>Note: The absolute ceiling is given by the intersection of 
           the two shaft power-curves in the chart below.</t>
    </r>
  </si>
  <si>
    <t>ROC0</t>
  </si>
  <si>
    <t>Absolute ceiling</t>
  </si>
  <si>
    <t>Cruise altitude</t>
  </si>
  <si>
    <t>Rate of climb at MSL</t>
  </si>
  <si>
    <t>Rate of climb in hcr</t>
  </si>
  <si>
    <t>Time to climb to climb to cruise altitude</t>
  </si>
  <si>
    <t>tCLB</t>
  </si>
  <si>
    <t>s</t>
  </si>
  <si>
    <t>min</t>
  </si>
  <si>
    <t>2.10 Approximation of time and fuel needed for climb to cruise altitude</t>
  </si>
  <si>
    <t>Maximum continous shaft power of IC engine</t>
  </si>
  <si>
    <t>PS,i,cont</t>
  </si>
  <si>
    <t>ka</t>
  </si>
  <si>
    <t>Q0</t>
  </si>
  <si>
    <t>Qh</t>
  </si>
  <si>
    <t>Q (quer)</t>
  </si>
  <si>
    <t>kg/s</t>
  </si>
  <si>
    <t>mF,CLB</t>
  </si>
  <si>
    <t>VF,CLB</t>
  </si>
  <si>
    <t>Note: The total climb is calculated with max.CONTINOUS power and the take-off is neglected.</t>
  </si>
  <si>
    <t>PS,i,cont 0ft</t>
  </si>
  <si>
    <t>PS,i,cont xft</t>
  </si>
  <si>
    <t>sigma xft</t>
  </si>
  <si>
    <t>ROChcr</t>
  </si>
  <si>
    <t>PScont ref a/c</t>
  </si>
  <si>
    <r>
      <t xml:space="preserve">T-O Param.
</t>
    </r>
    <r>
      <rPr>
        <sz val="8"/>
        <color indexed="8"/>
        <rFont val="Arial"/>
        <family val="2"/>
      </rPr>
      <t>(mMTO ref a/c)</t>
    </r>
  </si>
  <si>
    <t>mFCLB</t>
  </si>
  <si>
    <t>mTO</t>
  </si>
  <si>
    <t>mi (MFCLB
 included)</t>
  </si>
  <si>
    <t>CO2</t>
  </si>
  <si>
    <t>Produced CO2 per kWh conventional electricity</t>
  </si>
  <si>
    <t>sF</t>
  </si>
  <si>
    <t>kg/kWh</t>
  </si>
  <si>
    <t>Produced CO2 per kWh used electricity</t>
  </si>
  <si>
    <t>kg/(Ws)</t>
  </si>
  <si>
    <t>sce</t>
  </si>
  <si>
    <t>sue</t>
  </si>
  <si>
    <t>Total comsumption of electricity</t>
  </si>
  <si>
    <t>Electricity caused CO2</t>
  </si>
  <si>
    <t>mCO2,e</t>
  </si>
  <si>
    <t>Electricity tariff</t>
  </si>
  <si>
    <t>pe</t>
  </si>
  <si>
    <t>€/kWh</t>
  </si>
  <si>
    <t>Expenses for electricity</t>
  </si>
  <si>
    <t>Ce</t>
  </si>
  <si>
    <t>Energy costs (CE = CF + Ce)</t>
  </si>
  <si>
    <t>Author:</t>
  </si>
  <si>
    <t>Kolja Seeckt</t>
  </si>
  <si>
    <t>Thesis:</t>
  </si>
  <si>
    <t>Performance Assessment of Part-Electric General Aviation Aircraft</t>
  </si>
  <si>
    <t>Download:</t>
  </si>
  <si>
    <t>http://library.ProfScholz.de</t>
  </si>
  <si>
    <t>Date:</t>
  </si>
  <si>
    <t>2006-02-27</t>
  </si>
  <si>
    <t>Copyright:</t>
  </si>
  <si>
    <t>(c) by Kolja Seeckt, all rights reserved</t>
  </si>
  <si>
    <t>No Warrenty:</t>
  </si>
  <si>
    <t>This free software is provided 'as is' without warranty of any kind, expressed or implied, including, but not limited to, the implied warranties of merchantability and fitness for a particular purpose.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</si>
</sst>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
    <numFmt numFmtId="169" formatCode="0.0"/>
    <numFmt numFmtId="170" formatCode="0.0000"/>
    <numFmt numFmtId="171" formatCode="0.000000"/>
    <numFmt numFmtId="172" formatCode="##0.0E-0\8"/>
    <numFmt numFmtId="173" formatCode="##.00E-0"/>
    <numFmt numFmtId="174" formatCode="0.000E+00"/>
    <numFmt numFmtId="175" formatCode="#,##0.0000\ &quot;€&quot;"/>
    <numFmt numFmtId="176" formatCode="#,##0.0000"/>
    <numFmt numFmtId="177" formatCode="0.00000E+00"/>
    <numFmt numFmtId="178" formatCode="0.00000"/>
    <numFmt numFmtId="179" formatCode="0.0000000"/>
    <numFmt numFmtId="180" formatCode="[$-407]dddd\,\ d\.\ mmmm\ yyyy"/>
    <numFmt numFmtId="181" formatCode="ss"/>
    <numFmt numFmtId="182" formatCode="0.00000000"/>
    <numFmt numFmtId="183" formatCode="\(#.##\)"/>
    <numFmt numFmtId="184" formatCode="\(#.#\)"/>
  </numFmts>
  <fonts count="88">
    <font>
      <sz val="10"/>
      <name val="Arial"/>
      <family val="0"/>
    </font>
    <font>
      <sz val="8"/>
      <name val="Arial"/>
      <family val="2"/>
    </font>
    <font>
      <b/>
      <sz val="20"/>
      <name val="Arial"/>
      <family val="2"/>
    </font>
    <font>
      <b/>
      <sz val="24"/>
      <name val="Arial"/>
      <family val="2"/>
    </font>
    <font>
      <sz val="14"/>
      <name val="Arial"/>
      <family val="2"/>
    </font>
    <font>
      <b/>
      <sz val="10"/>
      <name val="Arial"/>
      <family val="2"/>
    </font>
    <font>
      <sz val="12"/>
      <name val="Arial"/>
      <family val="2"/>
    </font>
    <font>
      <sz val="10"/>
      <color indexed="10"/>
      <name val="Arial"/>
      <family val="2"/>
    </font>
    <font>
      <sz val="10"/>
      <color indexed="23"/>
      <name val="Arial"/>
      <family val="2"/>
    </font>
    <font>
      <sz val="10"/>
      <color indexed="55"/>
      <name val="Arial"/>
      <family val="2"/>
    </font>
    <font>
      <b/>
      <sz val="10"/>
      <color indexed="23"/>
      <name val="Arial"/>
      <family val="2"/>
    </font>
    <font>
      <sz val="8"/>
      <color indexed="23"/>
      <name val="Arial"/>
      <family val="2"/>
    </font>
    <font>
      <sz val="13"/>
      <name val="Arial"/>
      <family val="2"/>
    </font>
    <font>
      <b/>
      <sz val="12"/>
      <name val="Arial"/>
      <family val="2"/>
    </font>
    <font>
      <b/>
      <sz val="8"/>
      <color indexed="23"/>
      <name val="Arial"/>
      <family val="2"/>
    </font>
    <font>
      <sz val="9"/>
      <color indexed="10"/>
      <name val="Arial"/>
      <family val="2"/>
    </font>
    <font>
      <b/>
      <sz val="13"/>
      <name val="Arial"/>
      <family val="2"/>
    </font>
    <font>
      <b/>
      <sz val="8"/>
      <name val="Arial"/>
      <family val="2"/>
    </font>
    <font>
      <b/>
      <sz val="14"/>
      <color indexed="10"/>
      <name val="Arial"/>
      <family val="2"/>
    </font>
    <font>
      <b/>
      <sz val="10"/>
      <color indexed="10"/>
      <name val="Arial"/>
      <family val="2"/>
    </font>
    <font>
      <b/>
      <sz val="10"/>
      <color indexed="9"/>
      <name val="Arial"/>
      <family val="2"/>
    </font>
    <font>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u val="single"/>
      <sz val="10"/>
      <color indexed="12"/>
      <name val="Arial"/>
      <family val="2"/>
    </font>
    <font>
      <sz val="10.5"/>
      <color indexed="8"/>
      <name val="Arial"/>
      <family val="2"/>
    </font>
    <font>
      <sz val="12"/>
      <color indexed="8"/>
      <name val="Arial"/>
      <family val="2"/>
    </font>
    <font>
      <b/>
      <sz val="12"/>
      <color indexed="8"/>
      <name val="Arial"/>
      <family val="2"/>
    </font>
    <font>
      <b/>
      <sz val="16"/>
      <color indexed="8"/>
      <name val="Arial"/>
      <family val="2"/>
    </font>
    <font>
      <sz val="9"/>
      <color indexed="8"/>
      <name val="Arial"/>
      <family val="2"/>
    </font>
    <font>
      <b/>
      <sz val="9"/>
      <color indexed="8"/>
      <name val="Arial"/>
      <family val="2"/>
    </font>
    <font>
      <sz val="9.2"/>
      <color indexed="8"/>
      <name val="Arial"/>
      <family val="2"/>
    </font>
    <font>
      <b/>
      <sz val="10"/>
      <color indexed="8"/>
      <name val="Arial"/>
      <family val="2"/>
    </font>
    <font>
      <sz val="15.5"/>
      <color indexed="8"/>
      <name val="Arial"/>
      <family val="2"/>
    </font>
    <font>
      <b/>
      <sz val="11.75"/>
      <color indexed="8"/>
      <name val="Arial"/>
      <family val="2"/>
    </font>
    <font>
      <b/>
      <sz val="18.5"/>
      <color indexed="8"/>
      <name val="Arial"/>
      <family val="2"/>
    </font>
    <font>
      <sz val="14.25"/>
      <color indexed="8"/>
      <name val="Arial"/>
      <family val="2"/>
    </font>
    <font>
      <sz val="14"/>
      <color indexed="8"/>
      <name val="Arial"/>
      <family val="2"/>
    </font>
    <font>
      <sz val="17.5"/>
      <color indexed="8"/>
      <name val="Arial"/>
      <family val="2"/>
    </font>
    <font>
      <sz val="11.25"/>
      <color indexed="8"/>
      <name val="Arial"/>
      <family val="2"/>
    </font>
    <font>
      <b/>
      <sz val="11.25"/>
      <color indexed="8"/>
      <name val="Arial"/>
      <family val="2"/>
    </font>
    <font>
      <sz val="8.75"/>
      <color indexed="8"/>
      <name val="Arial"/>
      <family val="2"/>
    </font>
    <font>
      <b/>
      <sz val="16.25"/>
      <color indexed="8"/>
      <name val="Arial"/>
      <family val="2"/>
    </font>
    <font>
      <vertAlign val="superscript"/>
      <sz val="8"/>
      <color indexed="8"/>
      <name val="Arial"/>
      <family val="2"/>
    </font>
    <font>
      <vertAlign val="superscript"/>
      <sz val="8.75"/>
      <color indexed="8"/>
      <name val="Arial"/>
      <family val="2"/>
    </font>
    <font>
      <sz val="10.75"/>
      <color indexed="8"/>
      <name val="Arial"/>
      <family val="2"/>
    </font>
    <font>
      <b/>
      <sz val="10.75"/>
      <color indexed="8"/>
      <name val="Arial"/>
      <family val="2"/>
    </font>
    <font>
      <sz val="8.25"/>
      <color indexed="8"/>
      <name val="Arial"/>
      <family val="2"/>
    </font>
    <font>
      <sz val="11.5"/>
      <color indexed="8"/>
      <name val="Arial"/>
      <family val="2"/>
    </font>
    <font>
      <b/>
      <sz val="10.5"/>
      <color indexed="8"/>
      <name val="Arial"/>
      <family val="2"/>
    </font>
    <font>
      <b/>
      <sz val="9.75"/>
      <color indexed="8"/>
      <name val="Arial"/>
      <family val="2"/>
    </font>
    <font>
      <sz val="8.05"/>
      <color indexed="8"/>
      <name val="Arial"/>
      <family val="2"/>
    </font>
    <font>
      <sz val="10.25"/>
      <color indexed="8"/>
      <name val="Arial"/>
      <family val="2"/>
    </font>
    <font>
      <sz val="9.4"/>
      <color indexed="8"/>
      <name val="Arial"/>
      <family val="2"/>
    </font>
    <font>
      <sz val="10"/>
      <color theme="1"/>
      <name val="Calibri"/>
      <family val="2"/>
    </font>
    <font>
      <sz val="10"/>
      <color theme="0"/>
      <name val="Calibri"/>
      <family val="2"/>
    </font>
    <font>
      <b/>
      <sz val="10"/>
      <color rgb="FF3F3F3F"/>
      <name val="Calibri"/>
      <family val="2"/>
    </font>
    <font>
      <b/>
      <sz val="10"/>
      <color rgb="FFFA7D00"/>
      <name val="Calibri"/>
      <family val="2"/>
    </font>
    <font>
      <sz val="10"/>
      <color rgb="FF3F3F76"/>
      <name val="Calibri"/>
      <family val="2"/>
    </font>
    <font>
      <b/>
      <sz val="10"/>
      <color theme="1"/>
      <name val="Calibri"/>
      <family val="2"/>
    </font>
    <font>
      <i/>
      <sz val="10"/>
      <color rgb="FF7F7F7F"/>
      <name val="Calibri"/>
      <family val="2"/>
    </font>
    <font>
      <sz val="10"/>
      <color rgb="FF006100"/>
      <name val="Calibri"/>
      <family val="2"/>
    </font>
    <font>
      <u val="single"/>
      <sz val="10"/>
      <color theme="10"/>
      <name val="Arial"/>
      <family val="2"/>
    </font>
    <font>
      <sz val="10"/>
      <color rgb="FF9C6500"/>
      <name val="Calibri"/>
      <family val="2"/>
    </font>
    <font>
      <sz val="10"/>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0"/>
      <color rgb="FFFA7D00"/>
      <name val="Calibri"/>
      <family val="2"/>
    </font>
    <font>
      <sz val="10"/>
      <color rgb="FFFF0000"/>
      <name val="Calibri"/>
      <family val="2"/>
    </font>
    <font>
      <b/>
      <sz val="1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diagonalUp="1"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color indexed="23"/>
      </left>
      <right style="thin"/>
      <top style="thin">
        <color indexed="23"/>
      </top>
      <bottom style="thin">
        <color indexed="23"/>
      </bottom>
    </border>
    <border>
      <left style="thin"/>
      <right style="thin">
        <color indexed="23"/>
      </right>
      <top style="thin">
        <color indexed="23"/>
      </top>
      <bottom style="thin">
        <color indexed="23"/>
      </bottom>
    </border>
    <border>
      <left style="medium"/>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24">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33" borderId="10" xfId="0" applyFont="1" applyFill="1" applyBorder="1" applyAlignment="1">
      <alignment horizontal="center" vertical="center"/>
    </xf>
    <xf numFmtId="0" fontId="0" fillId="0" borderId="0" xfId="0" applyAlignment="1">
      <alignment horizontal="left" vertical="center"/>
    </xf>
    <xf numFmtId="0" fontId="6" fillId="0" borderId="10" xfId="0" applyFont="1" applyBorder="1" applyAlignment="1">
      <alignment horizontal="center" vertical="center"/>
    </xf>
    <xf numFmtId="169" fontId="0" fillId="33" borderId="10" xfId="0" applyNumberFormat="1" applyFont="1" applyFill="1" applyBorder="1" applyAlignment="1">
      <alignment horizontal="center" vertical="center"/>
    </xf>
    <xf numFmtId="0" fontId="0" fillId="0" borderId="10" xfId="0" applyFill="1" applyBorder="1" applyAlignment="1">
      <alignment horizontal="center" vertical="center"/>
    </xf>
    <xf numFmtId="2" fontId="0" fillId="34" borderId="10" xfId="0" applyNumberForma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0" fontId="0" fillId="0" borderId="0" xfId="0" applyBorder="1" applyAlignment="1">
      <alignment horizontal="left" vertical="center"/>
    </xf>
    <xf numFmtId="168" fontId="0" fillId="34" borderId="10" xfId="0" applyNumberForma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5" fillId="0" borderId="10" xfId="0" applyFont="1" applyFill="1" applyBorder="1" applyAlignment="1">
      <alignment horizontal="center" vertical="center"/>
    </xf>
    <xf numFmtId="169" fontId="0" fillId="34" borderId="13" xfId="0" applyNumberFormat="1" applyFill="1" applyBorder="1" applyAlignment="1">
      <alignment horizontal="center" vertical="center"/>
    </xf>
    <xf numFmtId="0" fontId="0" fillId="0" borderId="14" xfId="0" applyBorder="1" applyAlignment="1">
      <alignment vertical="center"/>
    </xf>
    <xf numFmtId="0" fontId="0" fillId="33" borderId="10" xfId="0" applyFill="1" applyBorder="1" applyAlignment="1">
      <alignment horizontal="center" vertical="center"/>
    </xf>
    <xf numFmtId="1" fontId="0" fillId="34" borderId="10" xfId="0" applyNumberFormat="1" applyFill="1" applyBorder="1" applyAlignment="1">
      <alignment horizontal="center" vertical="center"/>
    </xf>
    <xf numFmtId="0" fontId="8" fillId="0" borderId="11" xfId="0" applyFont="1" applyBorder="1" applyAlignment="1">
      <alignment vertical="center"/>
    </xf>
    <xf numFmtId="169" fontId="0" fillId="34" borderId="10" xfId="0" applyNumberFormat="1" applyFill="1" applyBorder="1" applyAlignment="1">
      <alignment horizontal="center" vertical="center"/>
    </xf>
    <xf numFmtId="0" fontId="0" fillId="0" borderId="0" xfId="0" applyBorder="1" applyAlignment="1">
      <alignment horizontal="center" vertical="center"/>
    </xf>
    <xf numFmtId="1" fontId="0" fillId="0" borderId="0" xfId="0" applyNumberFormat="1" applyFill="1" applyBorder="1" applyAlignment="1">
      <alignment horizontal="center" vertical="center"/>
    </xf>
    <xf numFmtId="0" fontId="8"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170" fontId="8" fillId="0" borderId="0" xfId="0" applyNumberFormat="1" applyFont="1" applyAlignment="1">
      <alignment horizontal="center" vertical="center"/>
    </xf>
    <xf numFmtId="0" fontId="8" fillId="0" borderId="0" xfId="0" applyFont="1" applyBorder="1" applyAlignment="1">
      <alignment horizontal="center" vertical="center"/>
    </xf>
    <xf numFmtId="0" fontId="1" fillId="0" borderId="10" xfId="0" applyFont="1" applyBorder="1" applyAlignment="1">
      <alignment horizontal="center" vertical="center"/>
    </xf>
    <xf numFmtId="168"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0" fontId="0" fillId="0" borderId="15" xfId="0"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5" xfId="0" applyFill="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0" fillId="0" borderId="20" xfId="0" applyBorder="1" applyAlignment="1">
      <alignment vertical="center"/>
    </xf>
    <xf numFmtId="0" fontId="5" fillId="0" borderId="21" xfId="0" applyFont="1" applyBorder="1" applyAlignment="1">
      <alignment horizontal="center" vertical="center"/>
    </xf>
    <xf numFmtId="0" fontId="5" fillId="0" borderId="10" xfId="0" applyFont="1" applyBorder="1" applyAlignment="1">
      <alignment horizontal="center" vertical="center" wrapText="1"/>
    </xf>
    <xf numFmtId="1" fontId="1" fillId="0" borderId="10" xfId="0" applyNumberFormat="1" applyFont="1" applyBorder="1" applyAlignment="1">
      <alignment horizontal="center" vertical="center"/>
    </xf>
    <xf numFmtId="168"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170" fontId="1" fillId="0" borderId="10" xfId="0" applyNumberFormat="1" applyFont="1" applyBorder="1" applyAlignment="1">
      <alignment horizontal="center" vertical="center"/>
    </xf>
    <xf numFmtId="169" fontId="1" fillId="35" borderId="10" xfId="0" applyNumberFormat="1" applyFont="1" applyFill="1" applyBorder="1" applyAlignment="1">
      <alignment horizontal="center" vertical="center"/>
    </xf>
    <xf numFmtId="1" fontId="11" fillId="0" borderId="16" xfId="0" applyNumberFormat="1" applyFont="1" applyFill="1" applyBorder="1" applyAlignment="1">
      <alignment horizontal="center" vertical="center"/>
    </xf>
    <xf numFmtId="1" fontId="11" fillId="0" borderId="18" xfId="0" applyNumberFormat="1" applyFont="1" applyFill="1" applyBorder="1" applyAlignment="1">
      <alignment horizontal="center" vertical="center"/>
    </xf>
    <xf numFmtId="1" fontId="1" fillId="0" borderId="0" xfId="0" applyNumberFormat="1" applyFont="1" applyBorder="1" applyAlignment="1">
      <alignment horizontal="center" vertical="center"/>
    </xf>
    <xf numFmtId="168" fontId="1" fillId="0" borderId="0" xfId="0" applyNumberFormat="1" applyFont="1" applyBorder="1" applyAlignment="1">
      <alignment horizontal="center" vertical="center"/>
    </xf>
    <xf numFmtId="169" fontId="1" fillId="0" borderId="0" xfId="0" applyNumberFormat="1" applyFont="1" applyBorder="1" applyAlignment="1">
      <alignment horizontal="center" vertical="center"/>
    </xf>
    <xf numFmtId="0" fontId="0" fillId="0" borderId="0" xfId="0" applyFont="1" applyFill="1" applyBorder="1" applyAlignment="1">
      <alignment horizontal="center" vertical="center"/>
    </xf>
    <xf numFmtId="168"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8" fillId="0" borderId="22" xfId="0" applyFont="1" applyBorder="1" applyAlignment="1">
      <alignment horizontal="center" vertical="center"/>
    </xf>
    <xf numFmtId="170" fontId="8" fillId="0" borderId="22" xfId="0" applyNumberFormat="1" applyFont="1" applyBorder="1" applyAlignment="1">
      <alignment horizontal="center" vertical="center"/>
    </xf>
    <xf numFmtId="0" fontId="8" fillId="0" borderId="23" xfId="0" applyFont="1" applyBorder="1" applyAlignment="1">
      <alignment horizontal="center" vertical="center"/>
    </xf>
    <xf numFmtId="170" fontId="8" fillId="0" borderId="23" xfId="0" applyNumberFormat="1" applyFont="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13" xfId="0" applyFont="1" applyBorder="1" applyAlignment="1">
      <alignment horizontal="center" vertical="center"/>
    </xf>
    <xf numFmtId="169" fontId="8" fillId="0" borderId="13" xfId="0" applyNumberFormat="1" applyFont="1" applyBorder="1" applyAlignment="1">
      <alignment horizontal="center" vertical="center"/>
    </xf>
    <xf numFmtId="0" fontId="7" fillId="0" borderId="0" xfId="0" applyFont="1" applyFill="1" applyBorder="1" applyAlignment="1">
      <alignment horizontal="center" vertical="center"/>
    </xf>
    <xf numFmtId="169" fontId="7" fillId="0" borderId="0"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11" fontId="0" fillId="0" borderId="0" xfId="0" applyNumberFormat="1" applyFont="1" applyFill="1" applyBorder="1" applyAlignment="1">
      <alignment horizontal="center" vertical="center"/>
    </xf>
    <xf numFmtId="0" fontId="0" fillId="0" borderId="12" xfId="0" applyFont="1" applyBorder="1" applyAlignment="1">
      <alignment vertical="center"/>
    </xf>
    <xf numFmtId="11" fontId="0" fillId="34" borderId="10" xfId="0" applyNumberFormat="1" applyFill="1" applyBorder="1" applyAlignment="1">
      <alignment horizontal="center" vertical="center"/>
    </xf>
    <xf numFmtId="168" fontId="0"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69" fontId="0" fillId="0" borderId="0" xfId="0" applyNumberFormat="1" applyFill="1" applyBorder="1" applyAlignment="1">
      <alignment horizontal="center" vertical="center"/>
    </xf>
    <xf numFmtId="168" fontId="5" fillId="0" borderId="0" xfId="0" applyNumberFormat="1" applyFont="1" applyFill="1" applyBorder="1" applyAlignment="1">
      <alignment horizontal="center" vertical="center"/>
    </xf>
    <xf numFmtId="169"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0" borderId="22" xfId="0" applyFont="1" applyBorder="1" applyAlignment="1">
      <alignment horizontal="center" vertical="center"/>
    </xf>
    <xf numFmtId="169" fontId="0" fillId="36" borderId="23" xfId="0" applyNumberFormat="1" applyFont="1" applyFill="1" applyBorder="1" applyAlignment="1">
      <alignment horizontal="center" vertical="center"/>
    </xf>
    <xf numFmtId="169" fontId="8" fillId="0" borderId="23" xfId="0" applyNumberFormat="1" applyFont="1" applyBorder="1" applyAlignment="1">
      <alignment horizontal="center" vertical="center"/>
    </xf>
    <xf numFmtId="1" fontId="8" fillId="0" borderId="13" xfId="0" applyNumberFormat="1" applyFont="1" applyBorder="1" applyAlignment="1">
      <alignment horizontal="center" vertical="center"/>
    </xf>
    <xf numFmtId="169" fontId="0" fillId="34" borderId="13" xfId="0" applyNumberFormat="1" applyFont="1" applyFill="1" applyBorder="1" applyAlignment="1">
      <alignment horizontal="center" vertical="center"/>
    </xf>
    <xf numFmtId="2" fontId="0" fillId="34" borderId="10" xfId="0" applyNumberFormat="1" applyFont="1" applyFill="1" applyBorder="1" applyAlignment="1">
      <alignment horizontal="center" vertical="center"/>
    </xf>
    <xf numFmtId="169" fontId="0" fillId="34" borderId="10" xfId="0" applyNumberFormat="1" applyFont="1" applyFill="1" applyBorder="1" applyAlignment="1">
      <alignment horizontal="center" vertical="center"/>
    </xf>
    <xf numFmtId="0" fontId="0" fillId="0" borderId="0" xfId="0" applyBorder="1" applyAlignment="1">
      <alignment vertical="center" wrapText="1"/>
    </xf>
    <xf numFmtId="1" fontId="8" fillId="0" borderId="11" xfId="0" applyNumberFormat="1" applyFont="1" applyBorder="1" applyAlignment="1">
      <alignment horizontal="center" vertical="center"/>
    </xf>
    <xf numFmtId="169" fontId="0" fillId="33" borderId="23" xfId="0" applyNumberFormat="1" applyFont="1" applyFill="1" applyBorder="1" applyAlignment="1">
      <alignment horizontal="center" vertical="center"/>
    </xf>
    <xf numFmtId="0" fontId="13" fillId="0" borderId="10" xfId="0" applyFont="1" applyBorder="1" applyAlignment="1">
      <alignment horizontal="center" vertical="center"/>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xf>
    <xf numFmtId="0" fontId="0" fillId="0" borderId="0" xfId="0" applyBorder="1" applyAlignment="1">
      <alignment/>
    </xf>
    <xf numFmtId="0" fontId="14" fillId="0" borderId="0" xfId="0" applyFont="1" applyBorder="1" applyAlignment="1">
      <alignment horizontal="center" vertical="center" wrapText="1"/>
    </xf>
    <xf numFmtId="0" fontId="11" fillId="0" borderId="0" xfId="0" applyFont="1" applyBorder="1" applyAlignment="1">
      <alignment horizontal="center" vertical="center"/>
    </xf>
    <xf numFmtId="0" fontId="0" fillId="0" borderId="24" xfId="0" applyBorder="1" applyAlignment="1">
      <alignment/>
    </xf>
    <xf numFmtId="0" fontId="0" fillId="0" borderId="20" xfId="0" applyBorder="1" applyAlignment="1">
      <alignment/>
    </xf>
    <xf numFmtId="169" fontId="0" fillId="36" borderId="10" xfId="0" applyNumberFormat="1" applyFill="1" applyBorder="1" applyAlignment="1">
      <alignment horizontal="center" vertical="center"/>
    </xf>
    <xf numFmtId="169" fontId="0" fillId="36" borderId="0" xfId="0" applyNumberFormat="1" applyFill="1" applyBorder="1" applyAlignment="1">
      <alignment horizontal="center" vertical="center"/>
    </xf>
    <xf numFmtId="0" fontId="5" fillId="0" borderId="0" xfId="0" applyFont="1" applyAlignment="1">
      <alignment horizontal="center" vertical="center"/>
    </xf>
    <xf numFmtId="2" fontId="8" fillId="0" borderId="22" xfId="0" applyNumberFormat="1" applyFont="1" applyBorder="1" applyAlignment="1">
      <alignment horizontal="center" vertical="center"/>
    </xf>
    <xf numFmtId="0" fontId="0" fillId="0" borderId="12" xfId="0" applyBorder="1" applyAlignment="1">
      <alignment/>
    </xf>
    <xf numFmtId="0" fontId="0" fillId="0" borderId="0" xfId="0" applyFont="1" applyBorder="1" applyAlignment="1">
      <alignment horizontal="left" vertical="center"/>
    </xf>
    <xf numFmtId="0" fontId="5" fillId="0" borderId="10" xfId="0" applyFont="1" applyBorder="1" applyAlignment="1" quotePrefix="1">
      <alignment horizontal="center" vertical="center"/>
    </xf>
    <xf numFmtId="0" fontId="0" fillId="36" borderId="14" xfId="0" applyFill="1" applyBorder="1" applyAlignment="1" quotePrefix="1">
      <alignment horizontal="center" vertical="center"/>
    </xf>
    <xf numFmtId="0" fontId="0" fillId="36" borderId="25" xfId="0" applyFill="1" applyBorder="1" applyAlignment="1">
      <alignment horizontal="center" vertical="center"/>
    </xf>
    <xf numFmtId="0" fontId="0" fillId="36" borderId="25" xfId="0" applyFill="1" applyBorder="1" applyAlignment="1" quotePrefix="1">
      <alignment horizontal="center" vertical="center"/>
    </xf>
    <xf numFmtId="169" fontId="0" fillId="36" borderId="25" xfId="0" applyNumberFormat="1" applyFill="1" applyBorder="1" applyAlignment="1">
      <alignment horizontal="center" vertical="center"/>
    </xf>
    <xf numFmtId="0" fontId="0" fillId="36" borderId="21" xfId="0" applyFill="1" applyBorder="1" applyAlignment="1">
      <alignment horizontal="center" vertical="center"/>
    </xf>
    <xf numFmtId="0" fontId="0" fillId="0" borderId="0" xfId="0" applyFill="1" applyBorder="1" applyAlignment="1" quotePrefix="1">
      <alignment horizontal="right" vertical="center"/>
    </xf>
    <xf numFmtId="1" fontId="0" fillId="36" borderId="25" xfId="0" applyNumberFormat="1" applyFill="1" applyBorder="1" applyAlignment="1">
      <alignment horizontal="center" vertical="center"/>
    </xf>
    <xf numFmtId="0" fontId="0" fillId="0" borderId="0" xfId="0" applyBorder="1" applyAlignment="1" quotePrefix="1">
      <alignment horizontal="right"/>
    </xf>
    <xf numFmtId="0" fontId="17" fillId="0" borderId="10" xfId="0" applyFont="1" applyBorder="1" applyAlignment="1">
      <alignment horizontal="center" vertical="center" wrapText="1"/>
    </xf>
    <xf numFmtId="170"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0" fillId="0" borderId="15" xfId="0" applyBorder="1" applyAlignment="1">
      <alignment/>
    </xf>
    <xf numFmtId="0" fontId="0" fillId="0" borderId="26" xfId="0" applyBorder="1" applyAlignment="1">
      <alignment/>
    </xf>
    <xf numFmtId="0" fontId="1" fillId="0" borderId="0" xfId="0" applyFont="1" applyAlignment="1">
      <alignment horizontal="center"/>
    </xf>
    <xf numFmtId="0" fontId="1" fillId="0" borderId="0" xfId="0" applyFont="1" applyAlignment="1">
      <alignment horizontal="center" vertical="center"/>
    </xf>
    <xf numFmtId="169" fontId="1" fillId="0" borderId="0" xfId="0" applyNumberFormat="1" applyFont="1" applyAlignment="1">
      <alignment horizontal="center" vertical="center"/>
    </xf>
    <xf numFmtId="2" fontId="1" fillId="0" borderId="0" xfId="0" applyNumberFormat="1" applyFont="1" applyBorder="1" applyAlignment="1">
      <alignment horizontal="center" vertical="center"/>
    </xf>
    <xf numFmtId="0" fontId="17" fillId="36" borderId="10" xfId="0" applyFont="1" applyFill="1" applyBorder="1" applyAlignment="1">
      <alignment horizontal="center" vertical="center" wrapText="1"/>
    </xf>
    <xf numFmtId="177" fontId="1" fillId="36" borderId="10" xfId="0" applyNumberFormat="1" applyFont="1" applyFill="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righ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168" fontId="17" fillId="0" borderId="28" xfId="0" applyNumberFormat="1" applyFont="1" applyBorder="1" applyAlignment="1">
      <alignment horizontal="right"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xf>
    <xf numFmtId="170" fontId="1" fillId="0" borderId="36" xfId="0" applyNumberFormat="1" applyFont="1" applyBorder="1" applyAlignment="1">
      <alignment horizontal="center" vertical="center"/>
    </xf>
    <xf numFmtId="170" fontId="1" fillId="0" borderId="13" xfId="0" applyNumberFormat="1" applyFont="1" applyBorder="1" applyAlignment="1">
      <alignment horizontal="center" vertical="center"/>
    </xf>
    <xf numFmtId="2" fontId="1" fillId="0" borderId="13" xfId="0" applyNumberFormat="1" applyFont="1" applyBorder="1" applyAlignment="1">
      <alignment horizontal="center" vertical="center"/>
    </xf>
    <xf numFmtId="169" fontId="1" fillId="0" borderId="13" xfId="0" applyNumberFormat="1" applyFont="1" applyBorder="1" applyAlignment="1">
      <alignment horizontal="center" vertical="center"/>
    </xf>
    <xf numFmtId="1" fontId="1" fillId="0" borderId="13" xfId="0" applyNumberFormat="1" applyFont="1" applyBorder="1" applyAlignment="1">
      <alignment horizontal="center" vertical="center"/>
    </xf>
    <xf numFmtId="169" fontId="1" fillId="0" borderId="37" xfId="0" applyNumberFormat="1" applyFont="1" applyBorder="1" applyAlignment="1">
      <alignment horizontal="center" vertical="center"/>
    </xf>
    <xf numFmtId="0" fontId="17" fillId="0" borderId="38" xfId="0" applyFont="1" applyBorder="1" applyAlignment="1">
      <alignment horizontal="center" vertical="center"/>
    </xf>
    <xf numFmtId="170" fontId="1" fillId="0" borderId="39" xfId="0" applyNumberFormat="1" applyFont="1" applyBorder="1" applyAlignment="1">
      <alignment horizontal="center" vertical="center"/>
    </xf>
    <xf numFmtId="169" fontId="1" fillId="0" borderId="40" xfId="0" applyNumberFormat="1" applyFont="1" applyBorder="1" applyAlignment="1">
      <alignment horizontal="center" vertical="center"/>
    </xf>
    <xf numFmtId="0" fontId="17" fillId="0" borderId="41" xfId="0" applyFont="1" applyBorder="1" applyAlignment="1">
      <alignment horizontal="center" vertical="center"/>
    </xf>
    <xf numFmtId="170" fontId="1" fillId="0" borderId="42" xfId="0" applyNumberFormat="1" applyFont="1" applyBorder="1" applyAlignment="1">
      <alignment horizontal="center" vertical="center"/>
    </xf>
    <xf numFmtId="170" fontId="1" fillId="0" borderId="43" xfId="0" applyNumberFormat="1" applyFont="1" applyBorder="1" applyAlignment="1">
      <alignment horizontal="center" vertical="center"/>
    </xf>
    <xf numFmtId="2" fontId="1" fillId="0" borderId="43" xfId="0" applyNumberFormat="1" applyFont="1" applyBorder="1" applyAlignment="1">
      <alignment horizontal="center" vertical="center"/>
    </xf>
    <xf numFmtId="169" fontId="1" fillId="0" borderId="43" xfId="0" applyNumberFormat="1" applyFont="1" applyBorder="1" applyAlignment="1">
      <alignment horizontal="center" vertical="center"/>
    </xf>
    <xf numFmtId="1" fontId="1" fillId="0" borderId="43" xfId="0" applyNumberFormat="1" applyFont="1" applyBorder="1" applyAlignment="1">
      <alignment horizontal="center" vertical="center"/>
    </xf>
    <xf numFmtId="169" fontId="1" fillId="0" borderId="44" xfId="0" applyNumberFormat="1" applyFont="1" applyBorder="1" applyAlignment="1">
      <alignment horizontal="center" vertical="center"/>
    </xf>
    <xf numFmtId="0" fontId="17" fillId="0" borderId="45" xfId="0" applyFont="1" applyBorder="1" applyAlignment="1">
      <alignment horizontal="center" vertical="center"/>
    </xf>
    <xf numFmtId="170" fontId="1" fillId="0" borderId="46" xfId="0" applyNumberFormat="1" applyFont="1" applyBorder="1" applyAlignment="1">
      <alignment horizontal="center" vertical="center"/>
    </xf>
    <xf numFmtId="170" fontId="1" fillId="0" borderId="47" xfId="0" applyNumberFormat="1" applyFont="1" applyBorder="1" applyAlignment="1">
      <alignment horizontal="center" vertical="center"/>
    </xf>
    <xf numFmtId="2" fontId="1" fillId="0" borderId="47" xfId="0" applyNumberFormat="1" applyFont="1" applyBorder="1" applyAlignment="1">
      <alignment horizontal="center" vertical="center"/>
    </xf>
    <xf numFmtId="169" fontId="1" fillId="0" borderId="47" xfId="0" applyNumberFormat="1" applyFont="1" applyBorder="1" applyAlignment="1">
      <alignment horizontal="center" vertical="center"/>
    </xf>
    <xf numFmtId="1" fontId="1" fillId="0" borderId="47" xfId="0" applyNumberFormat="1" applyFont="1" applyBorder="1" applyAlignment="1">
      <alignment horizontal="center" vertical="center"/>
    </xf>
    <xf numFmtId="169" fontId="1" fillId="0" borderId="30" xfId="0" applyNumberFormat="1" applyFont="1" applyBorder="1" applyAlignment="1">
      <alignment horizontal="center" vertical="center"/>
    </xf>
    <xf numFmtId="169" fontId="1" fillId="0" borderId="48" xfId="0" applyNumberFormat="1" applyFont="1" applyBorder="1" applyAlignment="1">
      <alignment horizontal="center" vertical="center"/>
    </xf>
    <xf numFmtId="0" fontId="17" fillId="0" borderId="49" xfId="0" applyFont="1" applyBorder="1" applyAlignment="1">
      <alignment horizontal="center" vertical="center"/>
    </xf>
    <xf numFmtId="169" fontId="1" fillId="0" borderId="14" xfId="0" applyNumberFormat="1" applyFont="1" applyBorder="1" applyAlignment="1">
      <alignment horizontal="center" vertical="center"/>
    </xf>
    <xf numFmtId="0" fontId="17" fillId="0" borderId="50" xfId="0" applyFont="1" applyBorder="1" applyAlignment="1">
      <alignment horizontal="center" vertical="center"/>
    </xf>
    <xf numFmtId="169" fontId="1" fillId="0" borderId="51" xfId="0" applyNumberFormat="1" applyFont="1" applyBorder="1" applyAlignment="1">
      <alignment horizontal="center" vertical="center"/>
    </xf>
    <xf numFmtId="0" fontId="17" fillId="0" borderId="0" xfId="0" applyFont="1" applyBorder="1" applyAlignment="1">
      <alignment horizontal="center" vertical="center"/>
    </xf>
    <xf numFmtId="170" fontId="1"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0" fontId="0" fillId="34" borderId="10" xfId="0" applyFill="1" applyBorder="1" applyAlignment="1">
      <alignment horizontal="center" vertical="center"/>
    </xf>
    <xf numFmtId="2" fontId="0" fillId="33" borderId="10" xfId="0" applyNumberFormat="1" applyFill="1" applyBorder="1" applyAlignment="1">
      <alignment horizontal="center" vertical="center"/>
    </xf>
    <xf numFmtId="0" fontId="18" fillId="0" borderId="52" xfId="0" applyFont="1" applyFill="1" applyBorder="1" applyAlignment="1">
      <alignment vertical="center"/>
    </xf>
    <xf numFmtId="0" fontId="0" fillId="35" borderId="0" xfId="0" applyFill="1" applyBorder="1" applyAlignment="1">
      <alignment vertical="center"/>
    </xf>
    <xf numFmtId="0" fontId="0" fillId="35" borderId="0" xfId="0" applyFill="1" applyBorder="1" applyAlignment="1">
      <alignment horizontal="center" vertical="center"/>
    </xf>
    <xf numFmtId="169" fontId="0" fillId="35" borderId="0" xfId="0" applyNumberFormat="1" applyFill="1" applyBorder="1" applyAlignment="1">
      <alignment horizontal="center" vertical="center"/>
    </xf>
    <xf numFmtId="2" fontId="0" fillId="35" borderId="0" xfId="0" applyNumberFormat="1" applyFill="1" applyBorder="1" applyAlignment="1">
      <alignment horizontal="center" vertical="center"/>
    </xf>
    <xf numFmtId="0" fontId="0" fillId="35" borderId="20" xfId="0" applyFill="1" applyBorder="1" applyAlignment="1">
      <alignment vertical="center"/>
    </xf>
    <xf numFmtId="0" fontId="0" fillId="36" borderId="10" xfId="0" applyFont="1" applyFill="1" applyBorder="1" applyAlignment="1">
      <alignment horizontal="center" vertical="center"/>
    </xf>
    <xf numFmtId="2" fontId="0" fillId="36" borderId="10" xfId="0" applyNumberFormat="1" applyFill="1" applyBorder="1" applyAlignment="1">
      <alignment horizontal="center" vertical="center"/>
    </xf>
    <xf numFmtId="168" fontId="0" fillId="36" borderId="10" xfId="0" applyNumberFormat="1" applyFill="1" applyBorder="1" applyAlignment="1">
      <alignment horizontal="center" vertical="center"/>
    </xf>
    <xf numFmtId="1" fontId="0" fillId="36" borderId="10" xfId="0" applyNumberFormat="1" applyFill="1" applyBorder="1" applyAlignment="1">
      <alignment horizontal="center" vertical="center"/>
    </xf>
    <xf numFmtId="0" fontId="0" fillId="36" borderId="0" xfId="0" applyFill="1" applyAlignment="1" quotePrefix="1">
      <alignment vertical="center"/>
    </xf>
    <xf numFmtId="0" fontId="0" fillId="36" borderId="0" xfId="0" applyFill="1" applyAlignment="1">
      <alignment vertical="center"/>
    </xf>
    <xf numFmtId="0" fontId="0" fillId="35" borderId="53" xfId="0" applyFill="1" applyBorder="1" applyAlignment="1">
      <alignment vertical="center"/>
    </xf>
    <xf numFmtId="0" fontId="0" fillId="35" borderId="54" xfId="0" applyFill="1" applyBorder="1" applyAlignment="1">
      <alignment vertical="center"/>
    </xf>
    <xf numFmtId="0" fontId="0" fillId="35" borderId="24" xfId="0" applyFill="1" applyBorder="1" applyAlignment="1">
      <alignment vertical="center"/>
    </xf>
    <xf numFmtId="0" fontId="0" fillId="35" borderId="15" xfId="0" applyFill="1" applyBorder="1" applyAlignment="1">
      <alignment vertical="center"/>
    </xf>
    <xf numFmtId="0" fontId="0" fillId="35" borderId="11" xfId="0" applyFill="1" applyBorder="1" applyAlignment="1">
      <alignment vertical="center"/>
    </xf>
    <xf numFmtId="0" fontId="0" fillId="35" borderId="12" xfId="0" applyFill="1" applyBorder="1" applyAlignment="1">
      <alignment vertical="center"/>
    </xf>
    <xf numFmtId="0" fontId="0" fillId="34" borderId="10" xfId="0" applyFont="1" applyFill="1" applyBorder="1" applyAlignment="1">
      <alignment horizontal="center" vertical="center"/>
    </xf>
    <xf numFmtId="1" fontId="0" fillId="33" borderId="10" xfId="0" applyNumberFormat="1" applyFill="1" applyBorder="1" applyAlignment="1">
      <alignment horizontal="center" vertical="center"/>
    </xf>
    <xf numFmtId="0" fontId="0" fillId="0" borderId="0" xfId="0" applyAlignment="1">
      <alignment horizontal="center" vertical="center"/>
    </xf>
    <xf numFmtId="0" fontId="5" fillId="0" borderId="0" xfId="0" applyFont="1" applyFill="1" applyBorder="1" applyAlignment="1">
      <alignment horizontal="center" vertical="center"/>
    </xf>
    <xf numFmtId="0" fontId="7" fillId="0" borderId="0" xfId="0" applyFont="1" applyAlignment="1">
      <alignment vertical="center"/>
    </xf>
    <xf numFmtId="169" fontId="0" fillId="33" borderId="10" xfId="0" applyNumberFormat="1" applyFill="1" applyBorder="1" applyAlignment="1">
      <alignment horizontal="center" vertical="center"/>
    </xf>
    <xf numFmtId="170" fontId="0" fillId="33" borderId="10" xfId="0" applyNumberFormat="1" applyFont="1" applyFill="1" applyBorder="1" applyAlignment="1">
      <alignment horizontal="center" vertical="center"/>
    </xf>
    <xf numFmtId="169" fontId="8" fillId="0" borderId="0" xfId="0" applyNumberFormat="1" applyFont="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49" fontId="1" fillId="0" borderId="0" xfId="0" applyNumberFormat="1"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0" fillId="0" borderId="14" xfId="0" applyFill="1" applyBorder="1" applyAlignment="1">
      <alignment horizontal="center" vertical="center"/>
    </xf>
    <xf numFmtId="169" fontId="0" fillId="34" borderId="14" xfId="0" applyNumberFormat="1" applyFill="1" applyBorder="1" applyAlignment="1">
      <alignment horizontal="center" vertical="center"/>
    </xf>
    <xf numFmtId="1" fontId="0" fillId="34" borderId="14" xfId="0" applyNumberFormat="1" applyFill="1" applyBorder="1" applyAlignment="1">
      <alignment horizontal="center" vertical="center"/>
    </xf>
    <xf numFmtId="169"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2" fontId="0" fillId="0" borderId="0" xfId="0" applyNumberFormat="1" applyBorder="1" applyAlignment="1">
      <alignment horizontal="center" vertical="center"/>
    </xf>
    <xf numFmtId="0" fontId="5" fillId="0" borderId="1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Fill="1" applyBorder="1" applyAlignment="1">
      <alignment horizontal="center" vertical="center" wrapText="1"/>
    </xf>
    <xf numFmtId="2" fontId="0" fillId="0" borderId="20" xfId="0" applyNumberFormat="1" applyBorder="1" applyAlignment="1">
      <alignment horizontal="center" vertical="center"/>
    </xf>
    <xf numFmtId="2" fontId="0" fillId="0" borderId="26" xfId="0" applyNumberFormat="1" applyBorder="1" applyAlignment="1">
      <alignment horizontal="center" vertical="center"/>
    </xf>
    <xf numFmtId="2" fontId="0" fillId="0" borderId="12" xfId="0" applyNumberFormat="1" applyBorder="1" applyAlignment="1">
      <alignment horizontal="center" vertical="center"/>
    </xf>
    <xf numFmtId="0" fontId="0" fillId="0" borderId="23" xfId="0"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xf>
    <xf numFmtId="168" fontId="8" fillId="0" borderId="0" xfId="0" applyNumberFormat="1" applyFont="1" applyFill="1" applyBorder="1" applyAlignment="1">
      <alignment horizontal="center" vertical="center"/>
    </xf>
    <xf numFmtId="169" fontId="0" fillId="36" borderId="10"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53"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1" fillId="0" borderId="0" xfId="0" applyFont="1" applyAlignment="1">
      <alignment horizontal="center" vertical="center"/>
    </xf>
    <xf numFmtId="169" fontId="1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vertical="center"/>
    </xf>
    <xf numFmtId="0" fontId="11" fillId="0" borderId="0" xfId="0" applyFont="1" applyBorder="1" applyAlignment="1">
      <alignment horizontal="center" vertical="center"/>
    </xf>
    <xf numFmtId="170" fontId="11" fillId="0" borderId="0" xfId="0" applyNumberFormat="1" applyFont="1" applyBorder="1" applyAlignment="1">
      <alignment horizontal="center" vertical="center"/>
    </xf>
    <xf numFmtId="2" fontId="1" fillId="0" borderId="54" xfId="0" applyNumberFormat="1" applyFont="1" applyBorder="1" applyAlignment="1">
      <alignment horizontal="center" vertical="center"/>
    </xf>
    <xf numFmtId="0" fontId="1" fillId="37" borderId="24" xfId="0" applyFont="1" applyFill="1" applyBorder="1" applyAlignment="1">
      <alignment horizontal="center" vertical="center"/>
    </xf>
    <xf numFmtId="2" fontId="11" fillId="0" borderId="0" xfId="0" applyNumberFormat="1" applyFont="1" applyBorder="1" applyAlignment="1">
      <alignment horizontal="center" vertical="center"/>
    </xf>
    <xf numFmtId="168" fontId="11" fillId="0" borderId="0" xfId="0" applyNumberFormat="1" applyFont="1" applyBorder="1" applyAlignment="1">
      <alignment horizontal="center" vertical="center"/>
    </xf>
    <xf numFmtId="169" fontId="11" fillId="0" borderId="0" xfId="0" applyNumberFormat="1" applyFont="1" applyBorder="1" applyAlignment="1">
      <alignment horizontal="center" vertical="center"/>
    </xf>
    <xf numFmtId="2" fontId="11" fillId="38"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70"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 fillId="0" borderId="0" xfId="0" applyFont="1" applyBorder="1" applyAlignment="1">
      <alignment/>
    </xf>
    <xf numFmtId="169" fontId="11"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Alignment="1">
      <alignment vertical="center"/>
    </xf>
    <xf numFmtId="0" fontId="1" fillId="0" borderId="0" xfId="0" applyFont="1" applyBorder="1" applyAlignment="1">
      <alignment horizontal="center"/>
    </xf>
    <xf numFmtId="0" fontId="0" fillId="35" borderId="0" xfId="0" applyFill="1" applyAlignment="1">
      <alignment/>
    </xf>
    <xf numFmtId="0" fontId="0" fillId="35" borderId="0" xfId="0" applyFill="1" applyBorder="1" applyAlignment="1">
      <alignment/>
    </xf>
    <xf numFmtId="0" fontId="0" fillId="35" borderId="20" xfId="0" applyFill="1" applyBorder="1" applyAlignment="1">
      <alignment/>
    </xf>
    <xf numFmtId="0" fontId="0" fillId="35" borderId="25" xfId="0" applyFill="1" applyBorder="1" applyAlignment="1">
      <alignment vertical="center"/>
    </xf>
    <xf numFmtId="0" fontId="5" fillId="39" borderId="10" xfId="0" applyFont="1" applyFill="1" applyBorder="1" applyAlignment="1">
      <alignment horizontal="center" vertical="center"/>
    </xf>
    <xf numFmtId="168" fontId="0" fillId="33" borderId="10" xfId="0" applyNumberFormat="1" applyFill="1" applyBorder="1" applyAlignment="1">
      <alignment horizontal="center" vertical="center"/>
    </xf>
    <xf numFmtId="0" fontId="0" fillId="36" borderId="55" xfId="0" applyFill="1" applyBorder="1" applyAlignment="1">
      <alignment horizontal="center" vertical="center"/>
    </xf>
    <xf numFmtId="0" fontId="0" fillId="36" borderId="56" xfId="0" applyFill="1" applyBorder="1" applyAlignment="1">
      <alignment horizontal="center" vertical="center"/>
    </xf>
    <xf numFmtId="0" fontId="11" fillId="0" borderId="53" xfId="0" applyFont="1" applyBorder="1" applyAlignment="1">
      <alignment horizontal="center" vertical="center"/>
    </xf>
    <xf numFmtId="170" fontId="11" fillId="0" borderId="54"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5" xfId="0" applyFont="1" applyBorder="1" applyAlignment="1">
      <alignment vertical="center"/>
    </xf>
    <xf numFmtId="0" fontId="11" fillId="0" borderId="15" xfId="0" applyFont="1" applyFill="1" applyBorder="1" applyAlignment="1">
      <alignment horizontal="center" vertical="center"/>
    </xf>
    <xf numFmtId="0" fontId="11" fillId="0" borderId="11" xfId="0" applyFont="1" applyBorder="1" applyAlignment="1">
      <alignment horizontal="center" vertical="center"/>
    </xf>
    <xf numFmtId="168" fontId="11" fillId="0" borderId="12" xfId="0" applyNumberFormat="1" applyFont="1" applyFill="1" applyBorder="1" applyAlignment="1">
      <alignment horizontal="center" vertical="center"/>
    </xf>
    <xf numFmtId="0" fontId="11" fillId="0" borderId="26" xfId="0" applyFont="1" applyBorder="1" applyAlignment="1">
      <alignment horizontal="center" vertical="center"/>
    </xf>
    <xf numFmtId="0" fontId="1" fillId="37" borderId="20" xfId="0" applyFont="1" applyFill="1" applyBorder="1" applyAlignment="1">
      <alignment horizontal="center" vertical="center"/>
    </xf>
    <xf numFmtId="0" fontId="1" fillId="0" borderId="0" xfId="0" applyFont="1" applyBorder="1" applyAlignment="1" quotePrefix="1">
      <alignment horizontal="left" vertical="center"/>
    </xf>
    <xf numFmtId="169" fontId="11" fillId="0" borderId="10" xfId="0" applyNumberFormat="1" applyFont="1" applyFill="1" applyBorder="1" applyAlignment="1">
      <alignment horizontal="center" vertical="center"/>
    </xf>
    <xf numFmtId="169" fontId="11" fillId="0" borderId="10" xfId="0" applyNumberFormat="1" applyFont="1" applyBorder="1" applyAlignment="1">
      <alignment horizontal="center" vertical="center"/>
    </xf>
    <xf numFmtId="2" fontId="11" fillId="0" borderId="0" xfId="0" applyNumberFormat="1" applyFont="1" applyBorder="1" applyAlignment="1">
      <alignment horizontal="center"/>
    </xf>
    <xf numFmtId="2" fontId="11" fillId="0" borderId="12" xfId="0" applyNumberFormat="1" applyFont="1" applyBorder="1" applyAlignment="1">
      <alignment horizontal="center" vertical="center"/>
    </xf>
    <xf numFmtId="2" fontId="11" fillId="0" borderId="54" xfId="0" applyNumberFormat="1" applyFont="1" applyBorder="1" applyAlignment="1">
      <alignment horizontal="center" vertical="center"/>
    </xf>
    <xf numFmtId="0" fontId="11" fillId="0" borderId="15" xfId="0" applyFont="1" applyBorder="1" applyAlignment="1">
      <alignment horizontal="center"/>
    </xf>
    <xf numFmtId="169" fontId="11" fillId="38" borderId="0" xfId="0" applyNumberFormat="1" applyFont="1" applyFill="1" applyBorder="1" applyAlignment="1">
      <alignment horizontal="center"/>
    </xf>
    <xf numFmtId="0" fontId="11" fillId="0" borderId="20" xfId="0" applyFont="1" applyBorder="1" applyAlignment="1">
      <alignment horizontal="center"/>
    </xf>
    <xf numFmtId="170" fontId="11" fillId="0" borderId="0" xfId="0" applyNumberFormat="1" applyFont="1" applyBorder="1" applyAlignment="1">
      <alignment horizontal="center"/>
    </xf>
    <xf numFmtId="0" fontId="11" fillId="0" borderId="15" xfId="0" applyFont="1" applyFill="1" applyBorder="1" applyAlignment="1">
      <alignment horizontal="center"/>
    </xf>
    <xf numFmtId="11" fontId="11" fillId="0" borderId="0" xfId="0" applyNumberFormat="1" applyFont="1" applyBorder="1" applyAlignment="1">
      <alignment horizontal="center"/>
    </xf>
    <xf numFmtId="169" fontId="11" fillId="0" borderId="0" xfId="0" applyNumberFormat="1" applyFont="1" applyBorder="1" applyAlignment="1">
      <alignment horizontal="center"/>
    </xf>
    <xf numFmtId="0" fontId="11" fillId="0" borderId="11" xfId="0" applyFont="1" applyBorder="1" applyAlignment="1">
      <alignment horizontal="center"/>
    </xf>
    <xf numFmtId="169" fontId="11" fillId="0" borderId="12" xfId="0" applyNumberFormat="1" applyFont="1" applyBorder="1" applyAlignment="1">
      <alignment horizontal="center"/>
    </xf>
    <xf numFmtId="0" fontId="11" fillId="0" borderId="26" xfId="0" applyFont="1" applyBorder="1" applyAlignment="1">
      <alignment horizontal="center"/>
    </xf>
    <xf numFmtId="0" fontId="11" fillId="0" borderId="15" xfId="0" applyFont="1" applyBorder="1" applyAlignment="1">
      <alignment/>
    </xf>
    <xf numFmtId="0" fontId="11" fillId="0" borderId="0" xfId="0" applyFont="1" applyBorder="1" applyAlignment="1">
      <alignment/>
    </xf>
    <xf numFmtId="11" fontId="8" fillId="0" borderId="0" xfId="0" applyNumberFormat="1" applyFont="1" applyFill="1" applyBorder="1" applyAlignment="1">
      <alignment horizontal="center" vertical="center"/>
    </xf>
    <xf numFmtId="0" fontId="0" fillId="36" borderId="57" xfId="0" applyFill="1" applyBorder="1" applyAlignment="1">
      <alignment horizontal="center" vertical="center"/>
    </xf>
    <xf numFmtId="0" fontId="0" fillId="0" borderId="58" xfId="0" applyBorder="1" applyAlignment="1">
      <alignment horizontal="left" vertical="center"/>
    </xf>
    <xf numFmtId="0" fontId="0" fillId="0" borderId="36" xfId="0" applyBorder="1" applyAlignment="1">
      <alignment horizontal="left" vertical="center"/>
    </xf>
    <xf numFmtId="0" fontId="0" fillId="0" borderId="59" xfId="0" applyBorder="1" applyAlignment="1">
      <alignment horizontal="left" vertical="center"/>
    </xf>
    <xf numFmtId="0" fontId="0" fillId="35" borderId="26" xfId="0" applyFill="1" applyBorder="1" applyAlignment="1">
      <alignment/>
    </xf>
    <xf numFmtId="0" fontId="5" fillId="39" borderId="10" xfId="0" applyFont="1" applyFill="1" applyBorder="1" applyAlignment="1">
      <alignment horizontal="center" vertical="center" wrapText="1"/>
    </xf>
    <xf numFmtId="0" fontId="0" fillId="0" borderId="10" xfId="0" applyFont="1" applyBorder="1" applyAlignment="1">
      <alignment horizontal="center" vertical="center"/>
    </xf>
    <xf numFmtId="2" fontId="11" fillId="0" borderId="0" xfId="0" applyNumberFormat="1" applyFont="1" applyAlignment="1">
      <alignment horizontal="center" vertical="center"/>
    </xf>
    <xf numFmtId="0" fontId="0" fillId="35" borderId="0" xfId="0" applyFill="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Border="1" applyAlignment="1">
      <alignment horizontal="center" vertical="center"/>
    </xf>
    <xf numFmtId="1" fontId="8" fillId="0" borderId="0" xfId="0" applyNumberFormat="1" applyFont="1" applyAlignment="1">
      <alignment horizontal="center" vertical="center"/>
    </xf>
    <xf numFmtId="168" fontId="8" fillId="0" borderId="0" xfId="0" applyNumberFormat="1" applyFont="1" applyAlignment="1">
      <alignment horizontal="center" vertical="center"/>
    </xf>
    <xf numFmtId="2" fontId="8" fillId="0" borderId="0" xfId="0" applyNumberFormat="1" applyFont="1" applyAlignment="1">
      <alignment horizontal="center" vertical="center"/>
    </xf>
    <xf numFmtId="2" fontId="21" fillId="36" borderId="10" xfId="0" applyNumberFormat="1" applyFont="1" applyFill="1" applyBorder="1" applyAlignment="1">
      <alignment horizontal="center" vertical="center"/>
    </xf>
    <xf numFmtId="0" fontId="1" fillId="0" borderId="0" xfId="0" applyFont="1" applyAlignment="1">
      <alignment/>
    </xf>
    <xf numFmtId="0" fontId="11" fillId="0" borderId="0" xfId="0" applyFont="1" applyAlignment="1">
      <alignment horizontal="center" vertical="center"/>
    </xf>
    <xf numFmtId="169" fontId="11" fillId="0" borderId="0" xfId="0" applyNumberFormat="1" applyFont="1" applyAlignment="1">
      <alignment horizontal="center" vertical="center"/>
    </xf>
    <xf numFmtId="2" fontId="11" fillId="0" borderId="0" xfId="0" applyNumberFormat="1" applyFont="1" applyAlignment="1">
      <alignment horizontal="center" vertical="center"/>
    </xf>
    <xf numFmtId="168" fontId="11" fillId="0" borderId="0" xfId="0" applyNumberFormat="1" applyFont="1" applyAlignment="1">
      <alignment horizontal="center" vertical="center"/>
    </xf>
    <xf numFmtId="2" fontId="8" fillId="0" borderId="23"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2" fontId="1" fillId="0" borderId="0" xfId="0" applyNumberFormat="1" applyFont="1" applyAlignment="1">
      <alignment/>
    </xf>
    <xf numFmtId="1" fontId="1" fillId="35" borderId="10" xfId="0" applyNumberFormat="1" applyFont="1" applyFill="1" applyBorder="1" applyAlignment="1">
      <alignment horizontal="center" vertical="center"/>
    </xf>
    <xf numFmtId="1" fontId="11" fillId="0" borderId="19" xfId="0" applyNumberFormat="1" applyFont="1" applyBorder="1" applyAlignment="1">
      <alignment horizontal="center" vertical="center"/>
    </xf>
    <xf numFmtId="169" fontId="1" fillId="0" borderId="0" xfId="0" applyNumberFormat="1" applyFont="1" applyFill="1" applyBorder="1" applyAlignment="1">
      <alignment horizontal="center" vertical="center"/>
    </xf>
    <xf numFmtId="0" fontId="0" fillId="0" borderId="0" xfId="0" applyFill="1" applyBorder="1" applyAlignment="1">
      <alignment/>
    </xf>
    <xf numFmtId="2" fontId="1" fillId="35" borderId="53" xfId="0" applyNumberFormat="1" applyFont="1" applyFill="1" applyBorder="1" applyAlignment="1">
      <alignment horizontal="center" vertical="center"/>
    </xf>
    <xf numFmtId="2" fontId="1" fillId="35" borderId="15" xfId="0" applyNumberFormat="1" applyFont="1" applyFill="1" applyBorder="1" applyAlignment="1">
      <alignment horizontal="center" vertical="center"/>
    </xf>
    <xf numFmtId="2" fontId="1" fillId="35" borderId="11" xfId="0" applyNumberFormat="1" applyFont="1" applyFill="1" applyBorder="1" applyAlignment="1">
      <alignment horizontal="center" vertical="center"/>
    </xf>
    <xf numFmtId="0" fontId="0" fillId="35" borderId="24" xfId="0" applyFont="1" applyFill="1" applyBorder="1" applyAlignment="1">
      <alignment horizontal="center"/>
    </xf>
    <xf numFmtId="0" fontId="0" fillId="35" borderId="20" xfId="0" applyFont="1" applyFill="1" applyBorder="1" applyAlignment="1">
      <alignment horizontal="center"/>
    </xf>
    <xf numFmtId="0" fontId="0" fillId="35" borderId="26" xfId="0" applyFont="1" applyFill="1" applyBorder="1" applyAlignment="1">
      <alignment horizontal="center"/>
    </xf>
    <xf numFmtId="0" fontId="1" fillId="35" borderId="20" xfId="0" applyFont="1" applyFill="1" applyBorder="1" applyAlignment="1">
      <alignment horizontal="center"/>
    </xf>
    <xf numFmtId="0" fontId="1" fillId="35" borderId="24" xfId="0" applyFont="1" applyFill="1" applyBorder="1" applyAlignment="1">
      <alignment horizontal="center"/>
    </xf>
    <xf numFmtId="0" fontId="1" fillId="35" borderId="26" xfId="0" applyFont="1" applyFill="1" applyBorder="1" applyAlignment="1">
      <alignment horizontal="center"/>
    </xf>
    <xf numFmtId="2" fontId="0" fillId="36" borderId="10" xfId="0" applyNumberFormat="1" applyFont="1" applyFill="1" applyBorder="1" applyAlignment="1">
      <alignment horizontal="center" vertical="center"/>
    </xf>
    <xf numFmtId="0" fontId="0" fillId="36" borderId="10" xfId="0" applyFill="1" applyBorder="1" applyAlignment="1">
      <alignment horizontal="center" vertical="center"/>
    </xf>
    <xf numFmtId="46" fontId="0" fillId="0" borderId="0" xfId="0" applyNumberFormat="1" applyAlignment="1">
      <alignment/>
    </xf>
    <xf numFmtId="171" fontId="8" fillId="0" borderId="0" xfId="0" applyNumberFormat="1" applyFont="1" applyFill="1" applyBorder="1" applyAlignment="1">
      <alignment horizontal="center" vertical="center"/>
    </xf>
    <xf numFmtId="45" fontId="0" fillId="34" borderId="10" xfId="0" applyNumberFormat="1" applyFill="1" applyBorder="1" applyAlignment="1">
      <alignment horizontal="center" vertical="center"/>
    </xf>
    <xf numFmtId="0" fontId="0" fillId="0" borderId="11" xfId="0" applyBorder="1" applyAlignment="1">
      <alignment/>
    </xf>
    <xf numFmtId="170" fontId="0" fillId="0" borderId="11" xfId="0" applyNumberFormat="1" applyBorder="1" applyAlignment="1">
      <alignment/>
    </xf>
    <xf numFmtId="168" fontId="0" fillId="0" borderId="0" xfId="0" applyNumberFormat="1" applyBorder="1" applyAlignment="1">
      <alignment horizontal="center" vertical="center"/>
    </xf>
    <xf numFmtId="177" fontId="1" fillId="36" borderId="0" xfId="0" applyNumberFormat="1" applyFont="1" applyFill="1" applyBorder="1" applyAlignment="1">
      <alignment horizontal="center" vertical="center"/>
    </xf>
    <xf numFmtId="171" fontId="0" fillId="0" borderId="0" xfId="0" applyNumberFormat="1" applyBorder="1" applyAlignment="1">
      <alignment horizontal="center" vertical="center"/>
    </xf>
    <xf numFmtId="169" fontId="0" fillId="34" borderId="0" xfId="0" applyNumberFormat="1" applyFill="1" applyBorder="1" applyAlignment="1">
      <alignment horizontal="center" vertical="center"/>
    </xf>
    <xf numFmtId="2" fontId="0" fillId="36" borderId="0" xfId="0" applyNumberFormat="1" applyFill="1" applyBorder="1" applyAlignment="1">
      <alignment horizontal="center" vertical="center"/>
    </xf>
    <xf numFmtId="169" fontId="11" fillId="36" borderId="0" xfId="0" applyNumberFormat="1" applyFont="1" applyFill="1" applyBorder="1" applyAlignment="1">
      <alignment horizontal="center" vertical="center"/>
    </xf>
    <xf numFmtId="169" fontId="11" fillId="36" borderId="0" xfId="0" applyNumberFormat="1" applyFont="1" applyFill="1" applyBorder="1" applyAlignment="1">
      <alignment horizontal="center"/>
    </xf>
    <xf numFmtId="169" fontId="11" fillId="38" borderId="0" xfId="0" applyNumberFormat="1" applyFont="1" applyFill="1" applyBorder="1" applyAlignment="1">
      <alignment horizontal="center" vertical="center"/>
    </xf>
    <xf numFmtId="0" fontId="0" fillId="0" borderId="36" xfId="0" applyFont="1" applyBorder="1" applyAlignment="1">
      <alignment horizontal="left" vertical="center"/>
    </xf>
    <xf numFmtId="0" fontId="0" fillId="36" borderId="57" xfId="0" applyFont="1" applyFill="1" applyBorder="1" applyAlignment="1">
      <alignment horizontal="center" vertical="center"/>
    </xf>
    <xf numFmtId="0" fontId="21" fillId="0" borderId="32" xfId="0" applyFont="1" applyFill="1" applyBorder="1" applyAlignment="1">
      <alignment horizontal="center" vertical="center" wrapText="1"/>
    </xf>
    <xf numFmtId="169" fontId="21" fillId="36" borderId="60" xfId="0" applyNumberFormat="1" applyFont="1" applyFill="1" applyBorder="1" applyAlignment="1">
      <alignment horizontal="center" vertical="center"/>
    </xf>
    <xf numFmtId="169" fontId="0" fillId="0" borderId="0" xfId="0" applyNumberFormat="1" applyAlignment="1">
      <alignment horizontal="center" vertical="center"/>
    </xf>
    <xf numFmtId="0" fontId="1" fillId="0" borderId="23" xfId="0" applyFont="1" applyFill="1" applyBorder="1" applyAlignment="1">
      <alignment horizontal="center" vertical="center"/>
    </xf>
    <xf numFmtId="184" fontId="11" fillId="0" borderId="0" xfId="0" applyNumberFormat="1" applyFont="1" applyBorder="1" applyAlignment="1">
      <alignment horizontal="center" vertical="center"/>
    </xf>
    <xf numFmtId="2" fontId="0" fillId="33" borderId="10" xfId="0" applyNumberFormat="1" applyFont="1" applyFill="1" applyBorder="1" applyAlignment="1">
      <alignment horizontal="center" vertical="center"/>
    </xf>
    <xf numFmtId="168" fontId="0" fillId="33" borderId="10" xfId="0" applyNumberFormat="1" applyFont="1" applyFill="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5" fillId="0" borderId="10" xfId="0" applyFont="1" applyBorder="1" applyAlignment="1">
      <alignment horizontal="center" vertical="center"/>
    </xf>
    <xf numFmtId="0" fontId="0" fillId="0" borderId="15" xfId="0" applyBorder="1" applyAlignment="1">
      <alignment horizontal="left" vertical="center"/>
    </xf>
    <xf numFmtId="0" fontId="0" fillId="0" borderId="0" xfId="0" applyAlignment="1">
      <alignment horizontal="left" vertical="center"/>
    </xf>
    <xf numFmtId="168" fontId="0" fillId="33" borderId="22" xfId="0" applyNumberFormat="1" applyFill="1" applyBorder="1" applyAlignment="1">
      <alignment horizontal="center" vertical="center"/>
    </xf>
    <xf numFmtId="168" fontId="0" fillId="33" borderId="13" xfId="0" applyNumberFormat="1" applyFill="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vertical="center" wrapText="1"/>
    </xf>
    <xf numFmtId="0" fontId="0" fillId="0" borderId="54"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7" fillId="0" borderId="0" xfId="0" applyFont="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4" fillId="0" borderId="0" xfId="0" applyFont="1" applyAlignment="1">
      <alignment vertical="center"/>
    </xf>
    <xf numFmtId="0" fontId="0" fillId="0" borderId="10" xfId="0" applyBorder="1" applyAlignment="1">
      <alignment horizontal="center" vertical="center"/>
    </xf>
    <xf numFmtId="2" fontId="0" fillId="34" borderId="10" xfId="0" applyNumberFormat="1" applyFill="1" applyBorder="1" applyAlignment="1">
      <alignment horizontal="center" vertical="center"/>
    </xf>
    <xf numFmtId="0" fontId="0" fillId="0" borderId="10" xfId="0" applyBorder="1" applyAlignment="1">
      <alignment horizontal="left" vertical="center" wrapText="1"/>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lef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6"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0" fontId="8" fillId="0" borderId="24" xfId="0" applyFont="1" applyBorder="1" applyAlignment="1">
      <alignment vertical="center"/>
    </xf>
    <xf numFmtId="0" fontId="0" fillId="0" borderId="10" xfId="0" applyBorder="1" applyAlignment="1">
      <alignment vertical="center" wrapText="1"/>
    </xf>
    <xf numFmtId="0" fontId="12" fillId="0" borderId="0" xfId="0" applyFont="1" applyAlignment="1">
      <alignment vertical="center"/>
    </xf>
    <xf numFmtId="0" fontId="5" fillId="0" borderId="22" xfId="0" applyFont="1" applyBorder="1" applyAlignment="1">
      <alignment horizontal="center" vertical="center"/>
    </xf>
    <xf numFmtId="0" fontId="0" fillId="0" borderId="13" xfId="0" applyBorder="1" applyAlignment="1">
      <alignment vertical="center"/>
    </xf>
    <xf numFmtId="1" fontId="0" fillId="34" borderId="22" xfId="0" applyNumberFormat="1" applyFill="1" applyBorder="1" applyAlignment="1">
      <alignment horizontal="center" vertical="center"/>
    </xf>
    <xf numFmtId="1" fontId="0" fillId="34" borderId="23" xfId="0" applyNumberFormat="1" applyFill="1" applyBorder="1" applyAlignment="1">
      <alignment horizontal="center" vertical="center"/>
    </xf>
    <xf numFmtId="1" fontId="0" fillId="34" borderId="13" xfId="0" applyNumberFormat="1" applyFill="1" applyBorder="1" applyAlignment="1">
      <alignment horizontal="center" vertical="center"/>
    </xf>
    <xf numFmtId="1" fontId="0" fillId="34" borderId="10" xfId="0" applyNumberFormat="1" applyFill="1" applyBorder="1" applyAlignment="1">
      <alignment horizontal="center" vertical="center"/>
    </xf>
    <xf numFmtId="0" fontId="4" fillId="0" borderId="0" xfId="0" applyFont="1" applyAlignment="1">
      <alignment/>
    </xf>
    <xf numFmtId="1" fontId="0" fillId="36" borderId="10" xfId="0" applyNumberFormat="1" applyFill="1" applyBorder="1" applyAlignment="1">
      <alignment horizontal="center"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24"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Fill="1" applyBorder="1" applyAlignment="1">
      <alignment horizontal="center" vertical="center"/>
    </xf>
    <xf numFmtId="2" fontId="0" fillId="34" borderId="10" xfId="0" applyNumberFormat="1" applyFont="1" applyFill="1" applyBorder="1" applyAlignment="1">
      <alignment horizontal="center" vertical="center"/>
    </xf>
    <xf numFmtId="0" fontId="7"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Border="1" applyAlignment="1">
      <alignment/>
    </xf>
    <xf numFmtId="0" fontId="8" fillId="0" borderId="53" xfId="0" applyFont="1" applyBorder="1" applyAlignment="1">
      <alignment/>
    </xf>
    <xf numFmtId="0" fontId="8" fillId="0" borderId="54" xfId="0" applyFont="1" applyBorder="1" applyAlignment="1">
      <alignment/>
    </xf>
    <xf numFmtId="0" fontId="8" fillId="0" borderId="24" xfId="0" applyFont="1" applyBorder="1" applyAlignment="1">
      <alignment/>
    </xf>
    <xf numFmtId="0" fontId="8" fillId="0" borderId="15" xfId="0" applyFont="1" applyBorder="1" applyAlignment="1">
      <alignment/>
    </xf>
    <xf numFmtId="0" fontId="8" fillId="0" borderId="0" xfId="0" applyFont="1" applyBorder="1" applyAlignment="1">
      <alignment/>
    </xf>
    <xf numFmtId="0" fontId="8" fillId="0" borderId="2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26" xfId="0" applyFont="1" applyBorder="1" applyAlignment="1">
      <alignment/>
    </xf>
    <xf numFmtId="0" fontId="16" fillId="0" borderId="10"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24"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26" xfId="0" applyFont="1" applyBorder="1" applyAlignment="1">
      <alignment vertical="center"/>
    </xf>
    <xf numFmtId="0" fontId="0" fillId="0" borderId="10" xfId="0" applyFont="1" applyBorder="1" applyAlignment="1">
      <alignment horizontal="left" vertical="center" wrapText="1"/>
    </xf>
    <xf numFmtId="0" fontId="0" fillId="34" borderId="10" xfId="0" applyFont="1" applyFill="1" applyBorder="1" applyAlignment="1">
      <alignment horizontal="center" vertical="center"/>
    </xf>
    <xf numFmtId="0" fontId="7" fillId="0" borderId="0" xfId="0" applyFont="1" applyAlignment="1">
      <alignment wrapText="1"/>
    </xf>
    <xf numFmtId="169" fontId="0" fillId="36" borderId="10" xfId="0" applyNumberFormat="1" applyFont="1" applyFill="1" applyBorder="1" applyAlignment="1">
      <alignment horizontal="center" vertical="center"/>
    </xf>
    <xf numFmtId="0" fontId="17" fillId="0" borderId="63" xfId="0" applyFont="1" applyBorder="1" applyAlignment="1">
      <alignment horizontal="center" vertical="center" wrapText="1"/>
    </xf>
    <xf numFmtId="0" fontId="17" fillId="0" borderId="41" xfId="0" applyFont="1" applyBorder="1" applyAlignment="1">
      <alignment horizontal="center"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4" fillId="0" borderId="0" xfId="0" applyFont="1" applyFill="1" applyAlignment="1">
      <alignment vertical="center"/>
    </xf>
    <xf numFmtId="0" fontId="0" fillId="0" borderId="5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0" xfId="0" applyFont="1" applyBorder="1" applyAlignment="1">
      <alignment horizontal="right" vertical="center"/>
    </xf>
    <xf numFmtId="0" fontId="0" fillId="0" borderId="53" xfId="0" applyBorder="1" applyAlignment="1">
      <alignment horizontal="center" vertical="center"/>
    </xf>
    <xf numFmtId="0" fontId="0" fillId="0" borderId="24" xfId="0" applyBorder="1" applyAlignment="1">
      <alignment horizontal="center" vertical="center"/>
    </xf>
    <xf numFmtId="0" fontId="1" fillId="0" borderId="53" xfId="0" applyFont="1" applyBorder="1" applyAlignment="1">
      <alignment horizontal="center" vertical="center"/>
    </xf>
    <xf numFmtId="0" fontId="1" fillId="0" borderId="24" xfId="0" applyFont="1" applyBorder="1" applyAlignment="1">
      <alignment horizontal="center" vertical="center"/>
    </xf>
    <xf numFmtId="0" fontId="4" fillId="0" borderId="0" xfId="0" applyFont="1" applyFill="1" applyAlignment="1">
      <alignment horizontal="left" vertical="center"/>
    </xf>
    <xf numFmtId="0" fontId="0" fillId="0" borderId="54" xfId="0" applyBorder="1" applyAlignment="1">
      <alignment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6" xfId="0" applyBorder="1" applyAlignment="1">
      <alignment vertical="center" wrapText="1"/>
    </xf>
    <xf numFmtId="0" fontId="0" fillId="0" borderId="14" xfId="0" applyFont="1" applyBorder="1" applyAlignment="1">
      <alignment horizontal="right" vertical="center"/>
    </xf>
    <xf numFmtId="0" fontId="0" fillId="0" borderId="21" xfId="0" applyFont="1" applyBorder="1" applyAlignment="1">
      <alignment horizontal="right"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2" fontId="11" fillId="0" borderId="15" xfId="0" applyNumberFormat="1" applyFont="1" applyBorder="1" applyAlignment="1">
      <alignment horizontal="center" vertical="center" wrapText="1"/>
    </xf>
    <xf numFmtId="2" fontId="11" fillId="0" borderId="15" xfId="0" applyNumberFormat="1" applyFont="1" applyBorder="1" applyAlignment="1">
      <alignment horizontal="center" vertical="center"/>
    </xf>
    <xf numFmtId="0" fontId="20" fillId="40" borderId="14"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1" xfId="0" applyFont="1" applyFill="1" applyBorder="1" applyAlignment="1">
      <alignment horizontal="center"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24"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0" fillId="0" borderId="14"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24"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26" xfId="0" applyFill="1" applyBorder="1" applyAlignment="1">
      <alignment horizontal="left" vertical="center"/>
    </xf>
    <xf numFmtId="0" fontId="1" fillId="0" borderId="1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53" xfId="0" applyBorder="1" applyAlignment="1">
      <alignment vertical="center"/>
    </xf>
    <xf numFmtId="0" fontId="0" fillId="0" borderId="14" xfId="0" applyFill="1" applyBorder="1" applyAlignment="1">
      <alignment vertical="center"/>
    </xf>
    <xf numFmtId="0" fontId="0" fillId="0" borderId="25" xfId="0" applyFill="1" applyBorder="1" applyAlignment="1">
      <alignment vertical="center"/>
    </xf>
    <xf numFmtId="0" fontId="0" fillId="0" borderId="21" xfId="0" applyFill="1" applyBorder="1" applyAlignment="1">
      <alignment vertical="center"/>
    </xf>
    <xf numFmtId="0" fontId="11" fillId="0" borderId="0" xfId="0" applyFont="1"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xf>
    <xf numFmtId="0" fontId="0" fillId="0" borderId="22" xfId="0" applyFill="1" applyBorder="1" applyAlignment="1">
      <alignment horizontal="center" vertical="center"/>
    </xf>
    <xf numFmtId="0" fontId="0" fillId="0" borderId="13" xfId="0" applyFill="1" applyBorder="1" applyAlignment="1">
      <alignment horizontal="center" vertical="center"/>
    </xf>
    <xf numFmtId="0" fontId="0" fillId="0" borderId="53" xfId="0" applyFill="1" applyBorder="1" applyAlignment="1">
      <alignment vertical="center"/>
    </xf>
    <xf numFmtId="0" fontId="0" fillId="0" borderId="54" xfId="0" applyFill="1" applyBorder="1" applyAlignment="1">
      <alignment vertical="center"/>
    </xf>
    <xf numFmtId="0" fontId="0" fillId="0" borderId="24"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26" xfId="0" applyFill="1" applyBorder="1" applyAlignment="1">
      <alignment vertical="center"/>
    </xf>
    <xf numFmtId="0" fontId="0" fillId="0" borderId="0" xfId="0" applyFont="1" applyAlignment="1">
      <alignment vertical="center"/>
    </xf>
    <xf numFmtId="0" fontId="78" fillId="0" borderId="0" xfId="47" applyAlignment="1" applyProtection="1">
      <alignment vertical="center"/>
      <protection/>
    </xf>
    <xf numFmtId="14" fontId="0" fillId="0" borderId="0" xfId="0" applyNumberFormat="1" applyFont="1" applyAlignment="1" quotePrefix="1">
      <alignment vertical="center"/>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1">
    <dxf>
      <font>
        <b val="0"/>
        <i val="0"/>
        <color auto="1"/>
      </font>
      <fill>
        <patternFill>
          <bgColor indexed="22"/>
        </patternFill>
      </fill>
    </dxf>
    <dxf>
      <fill>
        <patternFill>
          <bgColor indexed="22"/>
        </patternFill>
      </fill>
    </dxf>
    <dxf>
      <fill>
        <patternFill>
          <bgColor indexed="22"/>
        </patternFill>
      </fill>
    </dxf>
    <dxf>
      <font>
        <b/>
        <i val="0"/>
        <color auto="1"/>
      </font>
      <fill>
        <patternFill>
          <bgColor indexed="13"/>
        </patternFill>
      </fill>
    </dxf>
    <dxf>
      <font>
        <b/>
        <i val="0"/>
        <color auto="1"/>
      </font>
      <fill>
        <patternFill>
          <bgColor indexed="13"/>
        </patternFill>
      </fill>
    </dxf>
    <dxf>
      <fill>
        <patternFill>
          <bgColor indexed="22"/>
        </patternFill>
      </fill>
    </dxf>
    <dxf>
      <fill>
        <patternFill>
          <bgColor indexed="22"/>
        </patternFill>
      </fill>
    </dxf>
    <dxf>
      <fill>
        <patternFill>
          <bgColor indexed="22"/>
        </patternFill>
      </fill>
    </dxf>
    <dxf>
      <font>
        <b/>
        <i val="0"/>
        <color indexed="9"/>
      </font>
      <fill>
        <patternFill>
          <bgColor indexed="10"/>
        </patternFill>
      </fill>
    </dxf>
    <dxf>
      <font>
        <b/>
        <i val="0"/>
        <color indexed="9"/>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Drag Polar</a:t>
            </a:r>
          </a:p>
        </c:rich>
      </c:tx>
      <c:layout>
        <c:manualLayout>
          <c:xMode val="factor"/>
          <c:yMode val="factor"/>
          <c:x val="0.0015"/>
          <c:y val="-0.021"/>
        </c:manualLayout>
      </c:layout>
      <c:spPr>
        <a:noFill/>
        <a:ln>
          <a:noFill/>
        </a:ln>
      </c:spPr>
    </c:title>
    <c:plotArea>
      <c:layout>
        <c:manualLayout>
          <c:xMode val="edge"/>
          <c:yMode val="edge"/>
          <c:x val="0.031"/>
          <c:y val="0.056"/>
          <c:w val="0.969"/>
          <c:h val="0.89875"/>
        </c:manualLayout>
      </c:layout>
      <c:scatterChart>
        <c:scatterStyle val="smoothMarker"/>
        <c:varyColors val="0"/>
        <c:ser>
          <c:idx val="0"/>
          <c:order val="0"/>
          <c:tx>
            <c:v>Drag polar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xVal>
            <c:numRef>
              <c:f>Polars!$K$58:$K$98</c:f>
              <c:numCache/>
            </c:numRef>
          </c:xVal>
          <c:yVal>
            <c:numRef>
              <c:f>Polars!$J$58:$J$98</c:f>
              <c:numCache/>
            </c:numRef>
          </c:yVal>
          <c:smooth val="1"/>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Polars!$N$61:$N$62</c:f>
              <c:numCache/>
            </c:numRef>
          </c:xVal>
          <c:yVal>
            <c:numRef>
              <c:f>Polars!$O$61:$O$62</c:f>
              <c:numCache/>
            </c:numRef>
          </c:yVal>
          <c:smooth val="1"/>
        </c:ser>
        <c:axId val="27450836"/>
        <c:axId val="45730933"/>
      </c:scatterChart>
      <c:valAx>
        <c:axId val="27450836"/>
        <c:scaling>
          <c:orientation val="minMax"/>
          <c:max val="0.07"/>
        </c:scaling>
        <c:axPos val="b"/>
        <c:title>
          <c:tx>
            <c:rich>
              <a:bodyPr vert="horz" rot="0" anchor="ctr"/>
              <a:lstStyle/>
              <a:p>
                <a:pPr algn="ctr">
                  <a:defRPr/>
                </a:pPr>
                <a:r>
                  <a:rPr lang="en-US" cap="none" sz="1200" b="1" i="0" u="none" baseline="0">
                    <a:solidFill>
                      <a:srgbClr val="000000"/>
                    </a:solidFill>
                    <a:latin typeface="Arial"/>
                    <a:ea typeface="Arial"/>
                    <a:cs typeface="Arial"/>
                  </a:rPr>
                  <a:t>CD</a:t>
                </a:r>
              </a:p>
            </c:rich>
          </c:tx>
          <c:layout>
            <c:manualLayout>
              <c:xMode val="factor"/>
              <c:yMode val="factor"/>
              <c:x val="0.0027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5730933"/>
        <c:crosses val="autoZero"/>
        <c:crossBetween val="midCat"/>
        <c:dispUnits/>
      </c:valAx>
      <c:valAx>
        <c:axId val="45730933"/>
        <c:scaling>
          <c:orientation val="minMax"/>
          <c:max val="1.5"/>
          <c:min val="-0.5"/>
        </c:scaling>
        <c:axPos val="l"/>
        <c:title>
          <c:tx>
            <c:rich>
              <a:bodyPr vert="horz" rot="-5400000" anchor="ctr"/>
              <a:lstStyle/>
              <a:p>
                <a:pPr algn="ctr">
                  <a:defRPr/>
                </a:pPr>
                <a:r>
                  <a:rPr lang="en-US" cap="none" sz="1200" b="1" i="0" u="none" baseline="0">
                    <a:solidFill>
                      <a:srgbClr val="000000"/>
                    </a:solidFill>
                    <a:latin typeface="Arial"/>
                    <a:ea typeface="Arial"/>
                    <a:cs typeface="Arial"/>
                  </a:rPr>
                  <a:t>CL</a:t>
                </a:r>
              </a:p>
            </c:rich>
          </c:tx>
          <c:layout>
            <c:manualLayout>
              <c:xMode val="factor"/>
              <c:yMode val="factor"/>
              <c:x val="0.000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7450836"/>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Comparison of flight polars</a:t>
            </a:r>
          </a:p>
        </c:rich>
      </c:tx>
      <c:layout>
        <c:manualLayout>
          <c:xMode val="factor"/>
          <c:yMode val="factor"/>
          <c:x val="0.0015"/>
          <c:y val="-0.02025"/>
        </c:manualLayout>
      </c:layout>
      <c:spPr>
        <a:noFill/>
        <a:ln>
          <a:noFill/>
        </a:ln>
      </c:spPr>
    </c:title>
    <c:plotArea>
      <c:layout>
        <c:manualLayout>
          <c:xMode val="edge"/>
          <c:yMode val="edge"/>
          <c:x val="0.055"/>
          <c:y val="0.0375"/>
          <c:w val="0.945"/>
          <c:h val="0.89275"/>
        </c:manualLayout>
      </c:layout>
      <c:scatterChart>
        <c:scatterStyle val="smoothMarker"/>
        <c:varyColors val="0"/>
        <c:ser>
          <c:idx val="0"/>
          <c:order val="0"/>
          <c:tx>
            <c:v>Ref a/c</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Polars!$M$113:$M$140</c:f>
              <c:numCache>
                <c:ptCount val="28"/>
                <c:pt idx="0">
                  <c:v>201.69838638219576</c:v>
                </c:pt>
                <c:pt idx="1">
                  <c:v>197.33258334928027</c:v>
                </c:pt>
                <c:pt idx="2">
                  <c:v>194.1314559610307</c:v>
                </c:pt>
                <c:pt idx="3">
                  <c:v>192.01467135990265</c:v>
                </c:pt>
                <c:pt idx="4">
                  <c:v>190.91847613982344</c:v>
                </c:pt>
                <c:pt idx="5">
                  <c:v>190.79238045589747</c:v>
                </c:pt>
                <c:pt idx="6">
                  <c:v>191.59660733956454</c:v>
                </c:pt>
                <c:pt idx="7">
                  <c:v>193.3001088326118</c:v>
                </c:pt>
                <c:pt idx="8">
                  <c:v>195.8790072353262</c:v>
                </c:pt>
                <c:pt idx="9">
                  <c:v>199.3153588550287</c:v>
                </c:pt>
                <c:pt idx="10">
                  <c:v>203.5961650049022</c:v>
                </c:pt>
                <c:pt idx="11">
                  <c:v>208.71257442240065</c:v>
                </c:pt>
                <c:pt idx="12">
                  <c:v>214.6592352342069</c:v>
                </c:pt>
                <c:pt idx="13">
                  <c:v>221.43376474574356</c:v>
                </c:pt>
                <c:pt idx="14">
                  <c:v>229.0363127972403</c:v>
                </c:pt>
                <c:pt idx="15">
                  <c:v>237.46919997304752</c:v>
                </c:pt>
                <c:pt idx="16">
                  <c:v>246.73661610939706</c:v>
                </c:pt>
                <c:pt idx="17">
                  <c:v>256.844367692797</c:v>
                </c:pt>
                <c:pt idx="18">
                  <c:v>267.79966514288947</c:v>
                </c:pt>
                <c:pt idx="19">
                  <c:v>279.61094282102374</c:v>
                </c:pt>
                <c:pt idx="20">
                  <c:v>292.2877060375425</c:v>
                </c:pt>
                <c:pt idx="21">
                  <c:v>305.8404004482463</c:v>
                </c:pt>
                <c:pt idx="22">
                  <c:v>320.28030010850557</c:v>
                </c:pt>
                <c:pt idx="23">
                  <c:v>335.6194111477293</c:v>
                </c:pt>
                <c:pt idx="24">
                  <c:v>351.87038857913313</c:v>
                </c:pt>
                <c:pt idx="25">
                  <c:v>369.04646420153915</c:v>
                </c:pt>
                <c:pt idx="26">
                  <c:v>387.1613839052878</c:v>
                </c:pt>
                <c:pt idx="27">
                  <c:v>406.2293529816509</c:v>
                </c:pt>
              </c:numCache>
            </c:numRef>
          </c:xVal>
          <c:yVal>
            <c:numRef>
              <c:f>Polars!$L$113:$L$140</c:f>
              <c:numCache>
                <c:ptCount val="28"/>
                <c:pt idx="0">
                  <c:v>38.87688984881209</c:v>
                </c:pt>
                <c:pt idx="1">
                  <c:v>40.8207343412527</c:v>
                </c:pt>
                <c:pt idx="2">
                  <c:v>42.76457883369331</c:v>
                </c:pt>
                <c:pt idx="3">
                  <c:v>44.708423326133904</c:v>
                </c:pt>
                <c:pt idx="4">
                  <c:v>46.652267818574515</c:v>
                </c:pt>
                <c:pt idx="5">
                  <c:v>48.59611231101512</c:v>
                </c:pt>
                <c:pt idx="6">
                  <c:v>50.53995680345572</c:v>
                </c:pt>
                <c:pt idx="7">
                  <c:v>52.48380129589633</c:v>
                </c:pt>
                <c:pt idx="8">
                  <c:v>54.42764578833693</c:v>
                </c:pt>
                <c:pt idx="9">
                  <c:v>56.371490280777536</c:v>
                </c:pt>
                <c:pt idx="10">
                  <c:v>58.31533477321814</c:v>
                </c:pt>
                <c:pt idx="11">
                  <c:v>60.25917926565875</c:v>
                </c:pt>
                <c:pt idx="12">
                  <c:v>62.20302375809935</c:v>
                </c:pt>
                <c:pt idx="13">
                  <c:v>64.14686825053995</c:v>
                </c:pt>
                <c:pt idx="14">
                  <c:v>66.09071274298056</c:v>
                </c:pt>
                <c:pt idx="15">
                  <c:v>68.03455723542116</c:v>
                </c:pt>
                <c:pt idx="16">
                  <c:v>69.97840172786177</c:v>
                </c:pt>
                <c:pt idx="17">
                  <c:v>71.92224622030238</c:v>
                </c:pt>
                <c:pt idx="18">
                  <c:v>73.86609071274299</c:v>
                </c:pt>
                <c:pt idx="19">
                  <c:v>75.80993520518358</c:v>
                </c:pt>
                <c:pt idx="20">
                  <c:v>77.75377969762418</c:v>
                </c:pt>
                <c:pt idx="21">
                  <c:v>79.69762419006479</c:v>
                </c:pt>
                <c:pt idx="22">
                  <c:v>81.6414686825054</c:v>
                </c:pt>
                <c:pt idx="23">
                  <c:v>83.58531317494601</c:v>
                </c:pt>
                <c:pt idx="24">
                  <c:v>85.52915766738661</c:v>
                </c:pt>
                <c:pt idx="25">
                  <c:v>87.4730021598272</c:v>
                </c:pt>
                <c:pt idx="26">
                  <c:v>89.41684665226781</c:v>
                </c:pt>
                <c:pt idx="27">
                  <c:v>91.36069114470843</c:v>
                </c:pt>
              </c:numCache>
            </c:numRef>
          </c:yVal>
          <c:smooth val="1"/>
        </c:ser>
        <c:ser>
          <c:idx val="1"/>
          <c:order val="1"/>
          <c:tx>
            <c:v>hyb a/c</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Polars2!$M$34:$M$73</c:f>
              <c:numCache/>
            </c:numRef>
          </c:xVal>
          <c:yVal>
            <c:numRef>
              <c:f>Polars2!$L$34:$L$73</c:f>
              <c:numCache/>
            </c:numRef>
          </c:yVal>
          <c:smooth val="1"/>
        </c:ser>
        <c:ser>
          <c:idx val="2"/>
          <c:order val="2"/>
          <c:tx>
            <c:v>Emax Line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Polars2!$Q$72:$Q$73</c:f>
              <c:numCache/>
            </c:numRef>
          </c:xVal>
          <c:yVal>
            <c:numRef>
              <c:f>Polars2!$R$72:$R$73</c:f>
              <c:numCache/>
            </c:numRef>
          </c:yVal>
          <c:smooth val="1"/>
        </c:ser>
        <c:axId val="66019554"/>
        <c:axId val="57305075"/>
      </c:scatterChart>
      <c:valAx>
        <c:axId val="66019554"/>
        <c:scaling>
          <c:orientation val="minMax"/>
          <c:max val="350"/>
          <c:min val="150"/>
        </c:scaling>
        <c:axPos val="b"/>
        <c:title>
          <c:tx>
            <c:rich>
              <a:bodyPr vert="horz" rot="0" anchor="ctr"/>
              <a:lstStyle/>
              <a:p>
                <a:pPr algn="ctr">
                  <a:defRPr/>
                </a:pPr>
                <a:r>
                  <a:rPr lang="en-US" cap="none" sz="1050" b="1" i="0" u="none" baseline="0">
                    <a:solidFill>
                      <a:srgbClr val="000000"/>
                    </a:solidFill>
                    <a:latin typeface="Arial"/>
                    <a:ea typeface="Arial"/>
                    <a:cs typeface="Arial"/>
                  </a:rPr>
                  <a:t>Vv (ft/min)</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305075"/>
        <c:crosses val="autoZero"/>
        <c:crossBetween val="midCat"/>
        <c:dispUnits/>
        <c:majorUnit val="50"/>
        <c:minorUnit val="5"/>
      </c:valAx>
      <c:valAx>
        <c:axId val="57305075"/>
        <c:scaling>
          <c:orientation val="minMax"/>
          <c:max val="100"/>
          <c:min val="20"/>
        </c:scaling>
        <c:axPos val="l"/>
        <c:title>
          <c:tx>
            <c:rich>
              <a:bodyPr vert="horz" rot="-5400000" anchor="ctr"/>
              <a:lstStyle/>
              <a:p>
                <a:pPr algn="ctr">
                  <a:defRPr/>
                </a:pPr>
                <a:r>
                  <a:rPr lang="en-US" cap="none" sz="1050" b="1" i="0" u="none" baseline="0">
                    <a:solidFill>
                      <a:srgbClr val="000000"/>
                    </a:solidFill>
                    <a:latin typeface="Arial"/>
                    <a:ea typeface="Arial"/>
                    <a:cs typeface="Arial"/>
                  </a:rPr>
                  <a:t>V (knots)</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019554"/>
        <c:crosses val="autoZero"/>
        <c:crossBetween val="midCat"/>
        <c:dispUnits/>
        <c:minorUnit val="2"/>
      </c:valAx>
      <c:spPr>
        <a:solidFill>
          <a:srgbClr val="C0C0C0"/>
        </a:solidFill>
        <a:ln w="12700">
          <a:solidFill>
            <a:srgbClr val="808080"/>
          </a:solidFill>
        </a:ln>
      </c:spPr>
    </c:plotArea>
    <c:legend>
      <c:legendPos val="r"/>
      <c:legendEntry>
        <c:idx val="2"/>
        <c:delete val="1"/>
      </c:legendEntry>
      <c:layout>
        <c:manualLayout>
          <c:xMode val="edge"/>
          <c:yMode val="edge"/>
          <c:x val="0.8175"/>
          <c:y val="0.785"/>
          <c:w val="0.125"/>
          <c:h val="0.081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Climb performance at MSL</a:t>
            </a:r>
          </a:p>
        </c:rich>
      </c:tx>
      <c:layout>
        <c:manualLayout>
          <c:xMode val="factor"/>
          <c:yMode val="factor"/>
          <c:x val="0.00475"/>
          <c:y val="-0.0205"/>
        </c:manualLayout>
      </c:layout>
      <c:spPr>
        <a:noFill/>
        <a:ln>
          <a:noFill/>
        </a:ln>
      </c:spPr>
    </c:title>
    <c:plotArea>
      <c:layout>
        <c:manualLayout>
          <c:xMode val="edge"/>
          <c:yMode val="edge"/>
          <c:x val="0.0355"/>
          <c:y val="0.05175"/>
          <c:w val="0.9645"/>
          <c:h val="0.8985"/>
        </c:manualLayout>
      </c:layout>
      <c:scatterChart>
        <c:scatterStyle val="smoothMarker"/>
        <c:varyColors val="0"/>
        <c:ser>
          <c:idx val="0"/>
          <c:order val="0"/>
          <c:tx>
            <c:v>(T/W)*VE</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hyb'!$O$14:$O$49</c:f>
              <c:numCache/>
            </c:numRef>
          </c:yVal>
          <c:smooth val="1"/>
        </c:ser>
        <c:ser>
          <c:idx val="1"/>
          <c:order val="1"/>
          <c:tx>
            <c:v>(D/W)*VE</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hyb'!$P$14:$P$49</c:f>
              <c:numCache/>
            </c:numRef>
          </c:yVal>
          <c:smooth val="1"/>
        </c:ser>
        <c:ser>
          <c:idx val="2"/>
          <c:order val="2"/>
          <c:tx>
            <c:v>Vv</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hyb'!$Q$14:$Q$49</c:f>
              <c:numCache/>
            </c:numRef>
          </c:yVal>
          <c:smooth val="1"/>
        </c:ser>
        <c:axId val="45983628"/>
        <c:axId val="11199469"/>
      </c:scatterChart>
      <c:valAx>
        <c:axId val="45983628"/>
        <c:scaling>
          <c:orientation val="minMax"/>
          <c:max val="80"/>
          <c:min val="10"/>
        </c:scaling>
        <c:axPos val="b"/>
        <c:title>
          <c:tx>
            <c:rich>
              <a:bodyPr vert="horz" rot="0" anchor="ctr"/>
              <a:lstStyle/>
              <a:p>
                <a:pPr algn="ctr">
                  <a:defRPr/>
                </a:pPr>
                <a:r>
                  <a:rPr lang="en-US" cap="none" sz="1175" b="1" i="0" u="none" baseline="0">
                    <a:solidFill>
                      <a:srgbClr val="000000"/>
                    </a:solidFill>
                    <a:latin typeface="Arial"/>
                    <a:ea typeface="Arial"/>
                    <a:cs typeface="Arial"/>
                  </a:rPr>
                  <a:t>V (m/s)</a:t>
                </a:r>
              </a:p>
            </c:rich>
          </c:tx>
          <c:layout>
            <c:manualLayout>
              <c:xMode val="factor"/>
              <c:yMode val="factor"/>
              <c:x val="0.004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1199469"/>
        <c:crosses val="autoZero"/>
        <c:crossBetween val="midCat"/>
        <c:dispUnits/>
      </c:valAx>
      <c:valAx>
        <c:axId val="11199469"/>
        <c:scaling>
          <c:orientation val="minMax"/>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Vv (m/s)</a:t>
                </a:r>
              </a:p>
            </c:rich>
          </c:tx>
          <c:layout>
            <c:manualLayout>
              <c:xMode val="factor"/>
              <c:yMode val="factor"/>
              <c:x val="0"/>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5983628"/>
        <c:crosses val="autoZero"/>
        <c:crossBetween val="midCat"/>
        <c:dispUnits/>
      </c:valAx>
      <c:spPr>
        <a:solidFill>
          <a:srgbClr val="C0C0C0"/>
        </a:solidFill>
        <a:ln w="12700">
          <a:solidFill>
            <a:srgbClr val="808080"/>
          </a:solidFill>
        </a:ln>
      </c:spPr>
    </c:plotArea>
    <c:legend>
      <c:legendPos val="r"/>
      <c:layout>
        <c:manualLayout>
          <c:xMode val="edge"/>
          <c:yMode val="edge"/>
          <c:x val="0.8045"/>
          <c:y val="0.71225"/>
          <c:w val="0.17275"/>
          <c:h val="0.14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Needed vs. available shaft power</a:t>
            </a:r>
          </a:p>
        </c:rich>
      </c:tx>
      <c:layout>
        <c:manualLayout>
          <c:xMode val="factor"/>
          <c:yMode val="factor"/>
          <c:x val="0.0015"/>
          <c:y val="-0.021"/>
        </c:manualLayout>
      </c:layout>
      <c:spPr>
        <a:noFill/>
        <a:ln>
          <a:noFill/>
        </a:ln>
      </c:spPr>
    </c:title>
    <c:plotArea>
      <c:layout>
        <c:manualLayout>
          <c:xMode val="edge"/>
          <c:yMode val="edge"/>
          <c:x val="0.03625"/>
          <c:y val="0.042"/>
          <c:w val="0.96375"/>
          <c:h val="0.9115"/>
        </c:manualLayout>
      </c:layout>
      <c:scatterChart>
        <c:scatterStyle val="smoothMarker"/>
        <c:varyColors val="0"/>
        <c:ser>
          <c:idx val="0"/>
          <c:order val="0"/>
          <c:tx>
            <c:v>PS available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hyb'!$J$65:$J$100</c:f>
              <c:numCache/>
            </c:numRef>
          </c:xVal>
          <c:yVal>
            <c:numRef>
              <c:f>'Climb hyb'!$M$65:$M$100</c:f>
              <c:numCache/>
            </c:numRef>
          </c:yVal>
          <c:smooth val="1"/>
        </c:ser>
        <c:ser>
          <c:idx val="1"/>
          <c:order val="1"/>
          <c:tx>
            <c:v>PS needed</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hyb'!$J$65:$J$100</c:f>
              <c:numCache/>
            </c:numRef>
          </c:xVal>
          <c:yVal>
            <c:numRef>
              <c:f>'Climb hyb'!$Q$65:$Q$100</c:f>
              <c:numCache/>
            </c:numRef>
          </c:yVal>
          <c:smooth val="1"/>
        </c:ser>
        <c:axId val="33686358"/>
        <c:axId val="34741767"/>
      </c:scatterChart>
      <c:valAx>
        <c:axId val="33686358"/>
        <c:scaling>
          <c:orientation val="minMax"/>
          <c:max val="35000"/>
        </c:scaling>
        <c:axPos val="b"/>
        <c:title>
          <c:tx>
            <c:rich>
              <a:bodyPr vert="horz" rot="0" anchor="ctr"/>
              <a:lstStyle/>
              <a:p>
                <a:pPr algn="ctr">
                  <a:defRPr/>
                </a:pPr>
                <a:r>
                  <a:rPr lang="en-US" cap="none" sz="1200" b="1" i="0" u="none" baseline="0">
                    <a:solidFill>
                      <a:srgbClr val="000000"/>
                    </a:solidFill>
                    <a:latin typeface="Arial"/>
                    <a:ea typeface="Arial"/>
                    <a:cs typeface="Arial"/>
                  </a:rPr>
                  <a:t>h (ft)</a:t>
                </a:r>
              </a:p>
            </c:rich>
          </c:tx>
          <c:layout>
            <c:manualLayout>
              <c:xMode val="factor"/>
              <c:yMode val="factor"/>
              <c:x val="0.00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550" b="0" i="0" u="none" baseline="0">
                <a:solidFill>
                  <a:srgbClr val="000000"/>
                </a:solidFill>
                <a:latin typeface="Arial"/>
                <a:ea typeface="Arial"/>
                <a:cs typeface="Arial"/>
              </a:defRPr>
            </a:pPr>
          </a:p>
        </c:txPr>
        <c:crossAx val="34741767"/>
        <c:crosses val="autoZero"/>
        <c:crossBetween val="midCat"/>
        <c:dispUnits/>
      </c:valAx>
      <c:valAx>
        <c:axId val="3474176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PS (kW)</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550" b="0" i="0" u="none" baseline="0">
                <a:solidFill>
                  <a:srgbClr val="000000"/>
                </a:solidFill>
                <a:latin typeface="Arial"/>
                <a:ea typeface="Arial"/>
                <a:cs typeface="Arial"/>
              </a:defRPr>
            </a:pPr>
          </a:p>
        </c:txPr>
        <c:crossAx val="33686358"/>
        <c:crosses val="autoZero"/>
        <c:crossBetween val="midCat"/>
        <c:dispUnits/>
      </c:valAx>
      <c:spPr>
        <a:solidFill>
          <a:srgbClr val="C0C0C0"/>
        </a:solidFill>
        <a:ln w="12700">
          <a:solidFill>
            <a:srgbClr val="808080"/>
          </a:solidFill>
        </a:ln>
      </c:spPr>
    </c:plotArea>
    <c:legend>
      <c:legendPos val="r"/>
      <c:layout>
        <c:manualLayout>
          <c:xMode val="edge"/>
          <c:yMode val="edge"/>
          <c:x val="0.727"/>
          <c:y val="0.77175"/>
          <c:w val="0.20675"/>
          <c:h val="0.083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Flight Polar (Soaring Performance)</a:t>
            </a:r>
          </a:p>
        </c:rich>
      </c:tx>
      <c:layout>
        <c:manualLayout>
          <c:xMode val="factor"/>
          <c:yMode val="factor"/>
          <c:x val="0.01475"/>
          <c:y val="-0.01925"/>
        </c:manualLayout>
      </c:layout>
      <c:spPr>
        <a:noFill/>
        <a:ln>
          <a:noFill/>
        </a:ln>
      </c:spPr>
    </c:title>
    <c:plotArea>
      <c:layout>
        <c:manualLayout>
          <c:xMode val="edge"/>
          <c:yMode val="edge"/>
          <c:x val="0.03375"/>
          <c:y val="0.05025"/>
          <c:w val="0.96625"/>
          <c:h val="0.911"/>
        </c:manualLayout>
      </c:layout>
      <c:scatterChart>
        <c:scatterStyle val="smoothMarker"/>
        <c:varyColors val="0"/>
        <c:ser>
          <c:idx val="0"/>
          <c:order val="0"/>
          <c:tx>
            <c:v>Calculated</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Polars!$M$113:$M$140</c:f>
              <c:numCache/>
            </c:numRef>
          </c:xVal>
          <c:yVal>
            <c:numRef>
              <c:f>Polars!$L$113:$L$140</c:f>
              <c:numCache/>
            </c:numRef>
          </c:yVal>
          <c:smooth val="1"/>
        </c:ser>
        <c:ser>
          <c:idx val="1"/>
          <c:order val="1"/>
          <c:tx>
            <c:v>Emax Line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Polars!$G$151:$G$152</c:f>
              <c:numCache/>
            </c:numRef>
          </c:xVal>
          <c:yVal>
            <c:numRef>
              <c:f>Polars!$H$151:$H$152</c:f>
              <c:numCache/>
            </c:numRef>
          </c:yVal>
          <c:smooth val="1"/>
        </c:ser>
        <c:ser>
          <c:idx val="2"/>
          <c:order val="2"/>
          <c:tx>
            <c:v>Flight Manual</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Polars!$M$142:$M$152</c:f>
              <c:numCache/>
            </c:numRef>
          </c:xVal>
          <c:yVal>
            <c:numRef>
              <c:f>Polars!$L$142:$L$152</c:f>
              <c:numCache/>
            </c:numRef>
          </c:yVal>
          <c:smooth val="1"/>
        </c:ser>
        <c:ser>
          <c:idx val="3"/>
          <c:order val="3"/>
          <c:tx>
            <c:v>Emax Line Flight Manual</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Polars!$E$151:$E$152</c:f>
              <c:numCache/>
            </c:numRef>
          </c:xVal>
          <c:yVal>
            <c:numRef>
              <c:f>Polars!$F$151:$F$152</c:f>
              <c:numCache/>
            </c:numRef>
          </c:yVal>
          <c:smooth val="1"/>
        </c:ser>
        <c:axId val="8925214"/>
        <c:axId val="13218063"/>
      </c:scatterChart>
      <c:valAx>
        <c:axId val="8925214"/>
        <c:scaling>
          <c:orientation val="minMax"/>
          <c:max val="300"/>
          <c:min val="150"/>
        </c:scaling>
        <c:axPos val="b"/>
        <c:title>
          <c:tx>
            <c:rich>
              <a:bodyPr vert="horz" rot="0" anchor="ctr"/>
              <a:lstStyle/>
              <a:p>
                <a:pPr algn="ctr">
                  <a:defRPr/>
                </a:pPr>
                <a:r>
                  <a:rPr lang="en-US" cap="none" sz="900" b="1" i="0" u="none" baseline="0">
                    <a:solidFill>
                      <a:srgbClr val="000000"/>
                    </a:solidFill>
                    <a:latin typeface="Arial"/>
                    <a:ea typeface="Arial"/>
                    <a:cs typeface="Arial"/>
                  </a:rPr>
                  <a:t>Vv (ft/min)</a:t>
                </a:r>
              </a:p>
            </c:rich>
          </c:tx>
          <c:layout>
            <c:manualLayout>
              <c:xMode val="factor"/>
              <c:yMode val="factor"/>
              <c:x val="0"/>
              <c:y val="0.00125"/>
            </c:manualLayout>
          </c:layout>
          <c:overlay val="0"/>
          <c:spPr>
            <a:noFill/>
            <a:ln>
              <a:noFill/>
            </a:ln>
          </c:spPr>
        </c:title>
        <c:majorGridlines>
          <c:spPr>
            <a:ln w="3175">
              <a:solidFill>
                <a:srgbClr val="969696"/>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3218063"/>
        <c:crosses val="autoZero"/>
        <c:crossBetween val="midCat"/>
        <c:dispUnits/>
        <c:majorUnit val="10"/>
        <c:minorUnit val="2"/>
      </c:valAx>
      <c:valAx>
        <c:axId val="13218063"/>
        <c:scaling>
          <c:orientation val="minMax"/>
          <c:max val="80"/>
          <c:min val="40"/>
        </c:scaling>
        <c:axPos val="l"/>
        <c:title>
          <c:tx>
            <c:rich>
              <a:bodyPr vert="horz" rot="-5400000" anchor="ctr"/>
              <a:lstStyle/>
              <a:p>
                <a:pPr algn="ctr">
                  <a:defRPr/>
                </a:pPr>
                <a:r>
                  <a:rPr lang="en-US" cap="none" sz="900" b="1" i="0" u="none" baseline="0">
                    <a:solidFill>
                      <a:srgbClr val="000000"/>
                    </a:solidFill>
                    <a:latin typeface="Arial"/>
                    <a:ea typeface="Arial"/>
                    <a:cs typeface="Arial"/>
                  </a:rPr>
                  <a:t>V (knots)</a:t>
                </a:r>
              </a:p>
            </c:rich>
          </c:tx>
          <c:layout>
            <c:manualLayout>
              <c:xMode val="factor"/>
              <c:yMode val="factor"/>
              <c:x val="-0.002"/>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8925214"/>
        <c:crosses val="autoZero"/>
        <c:crossBetween val="midCat"/>
        <c:dispUnits/>
      </c:valAx>
      <c:spPr>
        <a:solidFill>
          <a:srgbClr val="C0C0C0"/>
        </a:solidFill>
        <a:ln w="12700">
          <a:solidFill>
            <a:srgbClr val="808080"/>
          </a:solidFill>
        </a:ln>
      </c:spPr>
    </c:plotArea>
    <c:legend>
      <c:legendPos val="r"/>
      <c:layout>
        <c:manualLayout>
          <c:xMode val="edge"/>
          <c:yMode val="edge"/>
          <c:x val="0.672"/>
          <c:y val="0.52575"/>
          <c:w val="0.28375"/>
          <c:h val="0.13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Ranges and Endurances vs. speed</a:t>
            </a:r>
          </a:p>
        </c:rich>
      </c:tx>
      <c:layout>
        <c:manualLayout>
          <c:xMode val="factor"/>
          <c:yMode val="factor"/>
          <c:x val="0.00425"/>
          <c:y val="-0.02075"/>
        </c:manualLayout>
      </c:layout>
      <c:spPr>
        <a:noFill/>
        <a:ln>
          <a:noFill/>
        </a:ln>
      </c:spPr>
    </c:title>
    <c:plotArea>
      <c:layout>
        <c:manualLayout>
          <c:xMode val="edge"/>
          <c:yMode val="edge"/>
          <c:x val="0.02925"/>
          <c:y val="0.08425"/>
          <c:w val="0.933"/>
          <c:h val="0.86125"/>
        </c:manualLayout>
      </c:layout>
      <c:lineChart>
        <c:grouping val="standard"/>
        <c:varyColors val="0"/>
        <c:ser>
          <c:idx val="1"/>
          <c:order val="0"/>
          <c:tx>
            <c:v>R1 = R2</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Speed'!$J$4:$J$34</c:f>
              <c:numCache/>
            </c:numRef>
          </c:cat>
          <c:val>
            <c:numRef>
              <c:f>'Plots vs Speed'!$S$4:$S$34</c:f>
              <c:numCache/>
            </c:numRef>
          </c:val>
          <c:smooth val="0"/>
        </c:ser>
        <c:marker val="1"/>
        <c:axId val="51853704"/>
        <c:axId val="64030153"/>
      </c:lineChart>
      <c:lineChart>
        <c:grouping val="standard"/>
        <c:varyColors val="0"/>
        <c:ser>
          <c:idx val="4"/>
          <c:order val="1"/>
          <c:tx>
            <c:v>t1</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'Plots vs Speed'!$U$4:$U$34</c:f>
              <c:numCache/>
            </c:numRef>
          </c:val>
          <c:smooth val="0"/>
        </c:ser>
        <c:marker val="1"/>
        <c:axId val="39400466"/>
        <c:axId val="19059875"/>
      </c:lineChart>
      <c:catAx>
        <c:axId val="5185370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VE (m/s)</a:t>
                </a:r>
              </a:p>
            </c:rich>
          </c:tx>
          <c:layout>
            <c:manualLayout>
              <c:xMode val="factor"/>
              <c:yMode val="factor"/>
              <c:x val="0.006"/>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64030153"/>
        <c:crosses val="autoZero"/>
        <c:auto val="0"/>
        <c:lblOffset val="100"/>
        <c:tickLblSkip val="5"/>
        <c:noMultiLvlLbl val="0"/>
      </c:catAx>
      <c:valAx>
        <c:axId val="6403015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R (km)</a:t>
                </a:r>
              </a:p>
            </c:rich>
          </c:tx>
          <c:layout>
            <c:manualLayout>
              <c:xMode val="factor"/>
              <c:yMode val="factor"/>
              <c:x val="0.000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1853704"/>
        <c:crossesAt val="1"/>
        <c:crossBetween val="midCat"/>
        <c:dispUnits/>
        <c:majorUnit val="100"/>
        <c:minorUnit val="20"/>
      </c:valAx>
      <c:catAx>
        <c:axId val="39400466"/>
        <c:scaling>
          <c:orientation val="minMax"/>
        </c:scaling>
        <c:axPos val="b"/>
        <c:delete val="1"/>
        <c:majorTickMark val="out"/>
        <c:minorTickMark val="none"/>
        <c:tickLblPos val="none"/>
        <c:crossAx val="19059875"/>
        <c:crosses val="autoZero"/>
        <c:auto val="0"/>
        <c:lblOffset val="100"/>
        <c:tickLblSkip val="1"/>
        <c:noMultiLvlLbl val="0"/>
      </c:catAx>
      <c:valAx>
        <c:axId val="1905987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 (h)</a:t>
                </a:r>
              </a:p>
            </c:rich>
          </c:tx>
          <c:layout>
            <c:manualLayout>
              <c:xMode val="factor"/>
              <c:yMode val="factor"/>
              <c:x val="0.00125"/>
              <c:y val="-0.00175"/>
            </c:manualLayout>
          </c:layout>
          <c:overlay val="0"/>
          <c:spPr>
            <a:noFill/>
            <a:ln>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39400466"/>
        <c:crosses val="max"/>
        <c:crossBetween val="midCat"/>
        <c:dispUnits/>
        <c:majorUnit val="1"/>
        <c:minorUnit val="0.5"/>
      </c:valAx>
      <c:spPr>
        <a:solidFill>
          <a:srgbClr val="C0C0C0"/>
        </a:solidFill>
        <a:ln w="12700">
          <a:solidFill>
            <a:srgbClr val="808080"/>
          </a:solidFill>
        </a:ln>
      </c:spPr>
    </c:plotArea>
    <c:legend>
      <c:legendPos val="r"/>
      <c:layout>
        <c:manualLayout>
          <c:xMode val="edge"/>
          <c:yMode val="edge"/>
          <c:x val="0.75225"/>
          <c:y val="0.14775"/>
          <c:w val="0.14575"/>
          <c:h val="0.11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Drag, Thrust Power and Shaft Power vs. speed</a:t>
            </a:r>
          </a:p>
        </c:rich>
      </c:tx>
      <c:layout>
        <c:manualLayout>
          <c:xMode val="factor"/>
          <c:yMode val="factor"/>
          <c:x val="0.00425"/>
          <c:y val="-0.02075"/>
        </c:manualLayout>
      </c:layout>
      <c:spPr>
        <a:noFill/>
        <a:ln>
          <a:noFill/>
        </a:ln>
      </c:spPr>
    </c:title>
    <c:plotArea>
      <c:layout>
        <c:manualLayout>
          <c:xMode val="edge"/>
          <c:yMode val="edge"/>
          <c:x val="0.0285"/>
          <c:y val="0.087"/>
          <c:w val="0.933"/>
          <c:h val="0.859"/>
        </c:manualLayout>
      </c:layout>
      <c:lineChart>
        <c:grouping val="standard"/>
        <c:varyColors val="0"/>
        <c:ser>
          <c:idx val="8"/>
          <c:order val="0"/>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val>
            <c:numRef>
              <c:f>'Plots vs Speed'!$K$43:$K$73</c:f>
            </c:numRef>
          </c:val>
          <c:smooth val="0"/>
        </c:ser>
        <c:ser>
          <c:idx val="10"/>
          <c:order val="1"/>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val>
            <c:numRef>
              <c:f>'Plots vs Speed'!$L$43:$L$73</c:f>
            </c:numRef>
          </c:val>
          <c:smooth val="0"/>
        </c:ser>
        <c:ser>
          <c:idx val="11"/>
          <c:order val="2"/>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val>
            <c:numRef>
              <c:f>'Plots vs Speed'!$M$43:$M$73</c:f>
            </c:numRef>
          </c:val>
          <c:smooth val="0"/>
        </c:ser>
        <c:ser>
          <c:idx val="12"/>
          <c:order val="3"/>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val>
            <c:numRef>
              <c:f>'Plots vs Speed'!$N$43:$N$73</c:f>
            </c:numRef>
          </c:val>
          <c:smooth val="0"/>
        </c:ser>
        <c:ser>
          <c:idx val="5"/>
          <c:order val="4"/>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val>
            <c:numRef>
              <c:f>'Plots vs Speed'!$O$43:$O$73</c:f>
            </c:numRef>
          </c:val>
          <c:smooth val="0"/>
        </c:ser>
        <c:ser>
          <c:idx val="2"/>
          <c:order val="5"/>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val>
            <c:numRef>
              <c:f>'Plots vs Speed'!$P$43:$P$73</c:f>
            </c:numRef>
          </c:val>
          <c:smooth val="0"/>
        </c:ser>
        <c:ser>
          <c:idx val="7"/>
          <c:order val="8"/>
          <c:tx>
            <c:v>Drag</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Speed'!$S$43:$S$73</c:f>
              <c:numCache/>
            </c:numRef>
          </c:val>
          <c:smooth val="0"/>
        </c:ser>
        <c:marker val="1"/>
        <c:axId val="37321148"/>
        <c:axId val="346013"/>
      </c:lineChart>
      <c:lineChart>
        <c:grouping val="standard"/>
        <c:varyColors val="0"/>
        <c:ser>
          <c:idx val="3"/>
          <c:order val="6"/>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'Plots vs Speed'!$Q$43:$Q$73</c:f>
            </c:numRef>
          </c:val>
          <c:smooth val="0"/>
        </c:ser>
        <c:ser>
          <c:idx val="4"/>
          <c:order val="7"/>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val>
            <c:numRef>
              <c:f>'Plots vs Speed'!$R$43:$R$73</c:f>
            </c:numRef>
          </c:val>
          <c:smooth val="0"/>
        </c:ser>
        <c:ser>
          <c:idx val="1"/>
          <c:order val="9"/>
          <c:tx>
            <c:v>Thrust Power</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Speed'!$T$43:$T$73</c:f>
              <c:numCache/>
            </c:numRef>
          </c:val>
          <c:smooth val="0"/>
        </c:ser>
        <c:ser>
          <c:idx val="9"/>
          <c:order val="10"/>
          <c:tx>
            <c:v>Shaft power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Speed'!$V$43:$V$73</c:f>
              <c:numCache/>
            </c:numRef>
          </c:val>
          <c:smooth val="0"/>
        </c:ser>
        <c:ser>
          <c:idx val="0"/>
          <c:order val="11"/>
          <c:tx>
            <c:v>PScont</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'Plots vs Speed'!$W$43:$W$73</c:f>
              <c:numCache/>
            </c:numRef>
          </c:val>
          <c:smooth val="0"/>
        </c:ser>
        <c:marker val="1"/>
        <c:axId val="3114118"/>
        <c:axId val="28027063"/>
      </c:lineChart>
      <c:catAx>
        <c:axId val="3732114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 (m/s)</a:t>
                </a:r>
              </a:p>
            </c:rich>
          </c:tx>
          <c:layout>
            <c:manualLayout>
              <c:xMode val="factor"/>
              <c:yMode val="factor"/>
              <c:x val="0.006"/>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346013"/>
        <c:crosses val="autoZero"/>
        <c:auto val="0"/>
        <c:lblOffset val="100"/>
        <c:tickLblSkip val="5"/>
        <c:noMultiLvlLbl val="0"/>
      </c:catAx>
      <c:valAx>
        <c:axId val="34601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D (N)</a:t>
                </a:r>
              </a:p>
            </c:rich>
          </c:tx>
          <c:layout>
            <c:manualLayout>
              <c:xMode val="factor"/>
              <c:yMode val="factor"/>
              <c:x val="0.000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37321148"/>
        <c:crossesAt val="1"/>
        <c:crossBetween val="midCat"/>
        <c:dispUnits/>
      </c:valAx>
      <c:catAx>
        <c:axId val="3114118"/>
        <c:scaling>
          <c:orientation val="minMax"/>
        </c:scaling>
        <c:axPos val="b"/>
        <c:delete val="1"/>
        <c:majorTickMark val="out"/>
        <c:minorTickMark val="none"/>
        <c:tickLblPos val="none"/>
        <c:crossAx val="28027063"/>
        <c:crosses val="autoZero"/>
        <c:auto val="0"/>
        <c:lblOffset val="100"/>
        <c:tickLblSkip val="1"/>
        <c:noMultiLvlLbl val="0"/>
      </c:catAx>
      <c:valAx>
        <c:axId val="28027063"/>
        <c:scaling>
          <c:orientation val="minMax"/>
          <c:max val="100"/>
        </c:scaling>
        <c:axPos val="l"/>
        <c:title>
          <c:tx>
            <c:rich>
              <a:bodyPr vert="horz" rot="-5400000" anchor="ctr"/>
              <a:lstStyle/>
              <a:p>
                <a:pPr algn="ctr">
                  <a:defRPr/>
                </a:pPr>
                <a:r>
                  <a:rPr lang="en-US" cap="none" sz="1200" b="1" i="0" u="none" baseline="0">
                    <a:solidFill>
                      <a:srgbClr val="000000"/>
                    </a:solidFill>
                    <a:latin typeface="Arial"/>
                    <a:ea typeface="Arial"/>
                    <a:cs typeface="Arial"/>
                  </a:rPr>
                  <a:t>P (kW)</a:t>
                </a:r>
              </a:p>
            </c:rich>
          </c:tx>
          <c:layout>
            <c:manualLayout>
              <c:xMode val="factor"/>
              <c:yMode val="factor"/>
              <c:x val="0.00125"/>
              <c:y val="-0.001"/>
            </c:manualLayout>
          </c:layout>
          <c:overlay val="0"/>
          <c:spPr>
            <a:noFill/>
            <a:ln>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3114118"/>
        <c:crosses val="max"/>
        <c:crossBetween val="midCat"/>
        <c:dispUnits/>
        <c:majorUnit val="10"/>
        <c:minorUnit val="5"/>
      </c:valAx>
      <c:spPr>
        <a:solidFill>
          <a:srgbClr val="C0C0C0"/>
        </a:solidFill>
        <a:ln w="12700">
          <a:solidFill>
            <a:srgbClr val="808080"/>
          </a:solidFill>
        </a:ln>
      </c:spPr>
    </c:plotArea>
    <c:legend>
      <c:legendPos val="r"/>
      <c:layout>
        <c:manualLayout>
          <c:xMode val="edge"/>
          <c:yMode val="edge"/>
          <c:x val="0.674"/>
          <c:y val="0.6605"/>
          <c:w val="0.198"/>
          <c:h val="0.163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Rate of climb vs. speed</a:t>
            </a:r>
          </a:p>
        </c:rich>
      </c:tx>
      <c:layout>
        <c:manualLayout>
          <c:xMode val="factor"/>
          <c:yMode val="factor"/>
          <c:x val="0.00625"/>
          <c:y val="-0.02025"/>
        </c:manualLayout>
      </c:layout>
      <c:spPr>
        <a:noFill/>
        <a:ln>
          <a:noFill/>
        </a:ln>
      </c:spPr>
    </c:title>
    <c:plotArea>
      <c:layout>
        <c:manualLayout>
          <c:xMode val="edge"/>
          <c:yMode val="edge"/>
          <c:x val="0.03475"/>
          <c:y val="0.055"/>
          <c:w val="0.96525"/>
          <c:h val="0.89075"/>
        </c:manualLayout>
      </c:layout>
      <c:scatterChart>
        <c:scatterStyle val="smoothMarker"/>
        <c:varyColors val="0"/>
        <c:ser>
          <c:idx val="0"/>
          <c:order val="0"/>
          <c:tx>
            <c:v>VvE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Ceiling'!$I$22:$I$57</c:f>
              <c:numCache/>
            </c:numRef>
          </c:xVal>
          <c:yVal>
            <c:numRef>
              <c:f>'Climb + Ceiling'!$Q$22:$Q$57</c:f>
              <c:numCache/>
            </c:numRef>
          </c:yVal>
          <c:smooth val="1"/>
        </c:ser>
        <c:ser>
          <c:idx val="1"/>
          <c:order val="1"/>
          <c:tx>
            <c:v>Flight Manual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'Climb + Ceiling'!$H$13</c:f>
              <c:numCache/>
            </c:numRef>
          </c:xVal>
          <c:yVal>
            <c:numRef>
              <c:f>'Climb + Ceiling'!$G$13</c:f>
              <c:numCache/>
            </c:numRef>
          </c:yVal>
          <c:smooth val="1"/>
        </c:ser>
        <c:ser>
          <c:idx val="2"/>
          <c:order val="2"/>
          <c:tx>
            <c:v>VvEmax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000000"/>
                </a:solidFill>
              </a:ln>
            </c:spPr>
          </c:marker>
          <c:xVal>
            <c:numRef>
              <c:f>'Climb + Ceiling'!$S$22</c:f>
              <c:numCache/>
            </c:numRef>
          </c:xVal>
          <c:yVal>
            <c:numRef>
              <c:f>'Climb + Ceiling'!$T$22</c:f>
              <c:numCache/>
            </c:numRef>
          </c:yVal>
          <c:smooth val="1"/>
        </c:ser>
        <c:axId val="50916976"/>
        <c:axId val="55599601"/>
      </c:scatterChart>
      <c:valAx>
        <c:axId val="50916976"/>
        <c:scaling>
          <c:orientation val="minMax"/>
          <c:max val="8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m/s</a:t>
                </a:r>
              </a:p>
            </c:rich>
          </c:tx>
          <c:layout>
            <c:manualLayout>
              <c:xMode val="factor"/>
              <c:yMode val="factor"/>
              <c:x val="0.003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5599601"/>
        <c:crosses val="autoZero"/>
        <c:crossBetween val="midCat"/>
        <c:dispUnits/>
        <c:majorUnit val="5"/>
        <c:minorUnit val="1"/>
      </c:valAx>
      <c:valAx>
        <c:axId val="55599601"/>
        <c:scaling>
          <c:orientation val="minMax"/>
          <c:min val="-1"/>
        </c:scaling>
        <c:axPos val="l"/>
        <c:title>
          <c:tx>
            <c:rich>
              <a:bodyPr vert="horz" rot="-5400000" anchor="ctr"/>
              <a:lstStyle/>
              <a:p>
                <a:pPr algn="ctr">
                  <a:defRPr/>
                </a:pPr>
                <a:r>
                  <a:rPr lang="en-US" cap="none" sz="1200" b="1" i="0" u="none" baseline="0">
                    <a:solidFill>
                      <a:srgbClr val="000000"/>
                    </a:solidFill>
                    <a:latin typeface="Arial"/>
                    <a:ea typeface="Arial"/>
                    <a:cs typeface="Arial"/>
                  </a:rPr>
                  <a:t>m/s</a:t>
                </a:r>
              </a:p>
            </c:rich>
          </c:tx>
          <c:layout>
            <c:manualLayout>
              <c:xMode val="factor"/>
              <c:yMode val="factor"/>
              <c:x val="0"/>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0916976"/>
        <c:crosses val="autoZero"/>
        <c:crossBetween val="midCat"/>
        <c:dispUnits/>
      </c:valAx>
      <c:spPr>
        <a:solidFill>
          <a:srgbClr val="C0C0C0"/>
        </a:solidFill>
        <a:ln w="12700">
          <a:solidFill>
            <a:srgbClr val="808080"/>
          </a:solidFill>
        </a:ln>
      </c:spPr>
    </c:plotArea>
    <c:legend>
      <c:legendPos val="r"/>
      <c:layout>
        <c:manualLayout>
          <c:xMode val="edge"/>
          <c:yMode val="edge"/>
          <c:x val="0.75775"/>
          <c:y val="0.11075"/>
          <c:w val="0.1985"/>
          <c:h val="0.1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Needed vs. available Shaft Power</a:t>
            </a:r>
          </a:p>
        </c:rich>
      </c:tx>
      <c:layout>
        <c:manualLayout>
          <c:xMode val="factor"/>
          <c:yMode val="factor"/>
          <c:x val="0.0015"/>
          <c:y val="-0.02025"/>
        </c:manualLayout>
      </c:layout>
      <c:spPr>
        <a:noFill/>
        <a:ln>
          <a:noFill/>
        </a:ln>
      </c:spPr>
    </c:title>
    <c:plotArea>
      <c:layout>
        <c:manualLayout>
          <c:xMode val="edge"/>
          <c:yMode val="edge"/>
          <c:x val="0.0595"/>
          <c:y val="0.03875"/>
          <c:w val="0.9405"/>
          <c:h val="0.89725"/>
        </c:manualLayout>
      </c:layout>
      <c:scatterChart>
        <c:scatterStyle val="smoothMarker"/>
        <c:varyColors val="0"/>
        <c:ser>
          <c:idx val="0"/>
          <c:order val="0"/>
          <c:tx>
            <c:v>PS available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Ceiling'!$J$71:$J$106</c:f>
              <c:numCache/>
            </c:numRef>
          </c:xVal>
          <c:yVal>
            <c:numRef>
              <c:f>'Climb + Ceiling'!$M$71:$M$106</c:f>
              <c:numCache/>
            </c:numRef>
          </c:yVal>
          <c:smooth val="1"/>
        </c:ser>
        <c:ser>
          <c:idx val="1"/>
          <c:order val="1"/>
          <c:tx>
            <c:v>PS needed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Ceiling'!$J$71:$J$106</c:f>
              <c:numCache/>
            </c:numRef>
          </c:xVal>
          <c:yVal>
            <c:numRef>
              <c:f>'Climb + Ceiling'!$Q$71:$Q$106</c:f>
              <c:numCache/>
            </c:numRef>
          </c:yVal>
          <c:smooth val="1"/>
        </c:ser>
        <c:axId val="30634362"/>
        <c:axId val="7273803"/>
      </c:scatterChart>
      <c:valAx>
        <c:axId val="30634362"/>
        <c:scaling>
          <c:orientation val="minMax"/>
          <c:max val="35000"/>
        </c:scaling>
        <c:axPos val="b"/>
        <c:title>
          <c:tx>
            <c:rich>
              <a:bodyPr vert="horz" rot="0" anchor="ctr"/>
              <a:lstStyle/>
              <a:p>
                <a:pPr algn="ctr">
                  <a:defRPr/>
                </a:pPr>
                <a:r>
                  <a:rPr lang="en-US" cap="none" sz="1000" b="1" i="0" u="none" baseline="0">
                    <a:solidFill>
                      <a:srgbClr val="000000"/>
                    </a:solidFill>
                    <a:latin typeface="Arial"/>
                    <a:ea typeface="Arial"/>
                    <a:cs typeface="Arial"/>
                  </a:rPr>
                  <a:t>h (ft)</a:t>
                </a:r>
              </a:p>
            </c:rich>
          </c:tx>
          <c:layout>
            <c:manualLayout>
              <c:xMode val="factor"/>
              <c:yMode val="factor"/>
              <c:x val="0"/>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crossAx val="7273803"/>
        <c:crosses val="autoZero"/>
        <c:crossBetween val="midCat"/>
        <c:dispUnits/>
      </c:valAx>
      <c:valAx>
        <c:axId val="727380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PS (kW)</a:t>
                </a:r>
              </a:p>
            </c:rich>
          </c:tx>
          <c:layout>
            <c:manualLayout>
              <c:xMode val="factor"/>
              <c:yMode val="factor"/>
              <c:x val="-0.001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crossAx val="30634362"/>
        <c:crosses val="autoZero"/>
        <c:crossBetween val="midCat"/>
        <c:dispUnits/>
      </c:valAx>
      <c:spPr>
        <a:solidFill>
          <a:srgbClr val="C0C0C0"/>
        </a:solidFill>
        <a:ln w="12700">
          <a:solidFill>
            <a:srgbClr val="808080"/>
          </a:solidFill>
        </a:ln>
      </c:spPr>
    </c:plotArea>
    <c:legend>
      <c:legendPos val="r"/>
      <c:layout>
        <c:manualLayout>
          <c:xMode val="edge"/>
          <c:yMode val="edge"/>
          <c:x val="0.74725"/>
          <c:y val="0.077"/>
          <c:w val="0.18725"/>
          <c:h val="0.07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solidFill>
                  <a:srgbClr val="000000"/>
                </a:solidFill>
                <a:latin typeface="Arial"/>
                <a:ea typeface="Arial"/>
                <a:cs typeface="Arial"/>
              </a:rPr>
              <a:t>Thrust Power vs. Drag Power</a:t>
            </a:r>
          </a:p>
        </c:rich>
      </c:tx>
      <c:layout>
        <c:manualLayout>
          <c:xMode val="factor"/>
          <c:yMode val="factor"/>
          <c:x val="-0.006"/>
          <c:y val="-0.02025"/>
        </c:manualLayout>
      </c:layout>
      <c:spPr>
        <a:noFill/>
        <a:ln>
          <a:noFill/>
        </a:ln>
      </c:spPr>
    </c:title>
    <c:plotArea>
      <c:layout>
        <c:manualLayout>
          <c:xMode val="edge"/>
          <c:yMode val="edge"/>
          <c:x val="0.04425"/>
          <c:y val="0.0655"/>
          <c:w val="0.8375"/>
          <c:h val="0.84775"/>
        </c:manualLayout>
      </c:layout>
      <c:scatterChart>
        <c:scatterStyle val="smoothMarker"/>
        <c:varyColors val="0"/>
        <c:ser>
          <c:idx val="3"/>
          <c:order val="0"/>
          <c:tx>
            <c:v>MSL</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Drag'!$E$6:$E$36</c:f>
              <c:numCache/>
            </c:numRef>
          </c:yVal>
          <c:smooth val="1"/>
        </c:ser>
        <c:ser>
          <c:idx val="5"/>
          <c:order val="1"/>
          <c:tx>
            <c:v>MSL</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Drag'!$G$6:$G$36</c:f>
              <c:numCache/>
            </c:numRef>
          </c:yVal>
          <c:smooth val="1"/>
        </c:ser>
        <c:ser>
          <c:idx val="2"/>
          <c:order val="2"/>
          <c:tx>
            <c:v>4000 ft</c:v>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Drag'!$Q$6:$Q$36</c:f>
              <c:numCache/>
            </c:numRef>
          </c:yVal>
          <c:smooth val="1"/>
        </c:ser>
        <c:ser>
          <c:idx val="4"/>
          <c:order val="3"/>
          <c:tx>
            <c:v>4000 ft</c:v>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Drag'!$S$6:$S$36</c:f>
              <c:numCache/>
            </c:numRef>
          </c:yVal>
          <c:smooth val="1"/>
        </c:ser>
        <c:ser>
          <c:idx val="0"/>
          <c:order val="4"/>
          <c:tx>
            <c:v>8000 ft</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Drag'!$E$40:$E$70</c:f>
              <c:numCache/>
            </c:numRef>
          </c:yVal>
          <c:smooth val="1"/>
        </c:ser>
        <c:ser>
          <c:idx val="1"/>
          <c:order val="5"/>
          <c:tx>
            <c:v>8000 ft</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Drag'!$G$40:$G$70</c:f>
              <c:numCache/>
            </c:numRef>
          </c:yVal>
          <c:smooth val="1"/>
        </c:ser>
        <c:ser>
          <c:idx val="6"/>
          <c:order val="6"/>
          <c:tx>
            <c:v>12000 ft</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Drag'!$Q$40:$Q$70</c:f>
              <c:numCache/>
            </c:numRef>
          </c:yVal>
          <c:smooth val="1"/>
        </c:ser>
        <c:ser>
          <c:idx val="7"/>
          <c:order val="7"/>
          <c:tx>
            <c:v>12000 ft</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Drag'!$S$40:$S$70</c:f>
              <c:numCache/>
            </c:numRef>
          </c:yVal>
          <c:smooth val="1"/>
        </c:ser>
        <c:axId val="65464228"/>
        <c:axId val="52307141"/>
      </c:scatterChart>
      <c:valAx>
        <c:axId val="65464228"/>
        <c:scaling>
          <c:orientation val="minMax"/>
          <c:max val="80"/>
          <c:min val="20"/>
        </c:scaling>
        <c:axPos val="b"/>
        <c:title>
          <c:tx>
            <c:rich>
              <a:bodyPr vert="horz" rot="0" anchor="ctr"/>
              <a:lstStyle/>
              <a:p>
                <a:pPr algn="ctr">
                  <a:defRPr/>
                </a:pPr>
                <a:r>
                  <a:rPr lang="en-US" cap="none" sz="1175" b="1" i="0" u="none" baseline="0">
                    <a:solidFill>
                      <a:srgbClr val="000000"/>
                    </a:solidFill>
                    <a:latin typeface="Arial"/>
                    <a:ea typeface="Arial"/>
                    <a:cs typeface="Arial"/>
                  </a:rPr>
                  <a:t>TAS (m/s)</a:t>
                </a:r>
              </a:p>
            </c:rich>
          </c:tx>
          <c:layout>
            <c:manualLayout>
              <c:xMode val="factor"/>
              <c:yMode val="factor"/>
              <c:x val="0"/>
              <c:y val="0.0002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2307141"/>
        <c:crosses val="autoZero"/>
        <c:crossBetween val="midCat"/>
        <c:dispUnits/>
      </c:valAx>
      <c:valAx>
        <c:axId val="52307141"/>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PD, PT (kW)</a:t>
                </a:r>
              </a:p>
            </c:rich>
          </c:tx>
          <c:layout>
            <c:manualLayout>
              <c:xMode val="factor"/>
              <c:yMode val="factor"/>
              <c:x val="-0.002"/>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65464228"/>
        <c:crosses val="autoZero"/>
        <c:crossBetween val="midCat"/>
        <c:dispUnits/>
      </c:valAx>
      <c:spPr>
        <a:solidFill>
          <a:srgbClr val="C0C0C0"/>
        </a:solidFill>
        <a:ln w="12700">
          <a:solidFill>
            <a:srgbClr val="808080"/>
          </a:solidFill>
        </a:ln>
      </c:spPr>
    </c:plotArea>
    <c:legend>
      <c:legendPos val="r"/>
      <c:layout>
        <c:manualLayout>
          <c:xMode val="edge"/>
          <c:yMode val="edge"/>
          <c:x val="0.87875"/>
          <c:y val="0.275"/>
          <c:w val="0.12125"/>
          <c:h val="0.48875"/>
        </c:manualLayout>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Mass by Shaft Power of several E-Motors</a:t>
            </a:r>
          </a:p>
        </c:rich>
      </c:tx>
      <c:layout>
        <c:manualLayout>
          <c:xMode val="factor"/>
          <c:yMode val="factor"/>
          <c:x val="0.00275"/>
          <c:y val="-0.0205"/>
        </c:manualLayout>
      </c:layout>
      <c:spPr>
        <a:noFill/>
        <a:ln>
          <a:noFill/>
        </a:ln>
      </c:spPr>
    </c:title>
    <c:plotArea>
      <c:layout>
        <c:manualLayout>
          <c:xMode val="edge"/>
          <c:yMode val="edge"/>
          <c:x val="0.01875"/>
          <c:y val="0.0295"/>
          <c:w val="0.98125"/>
          <c:h val="0.95225"/>
        </c:manualLayout>
      </c:layout>
      <c:scatterChart>
        <c:scatterStyle val="smoothMarker"/>
        <c:varyColors val="0"/>
        <c:ser>
          <c:idx val="0"/>
          <c:order val="0"/>
          <c:tx>
            <c:v>PML EW Series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trendline>
            <c:spPr>
              <a:ln w="3175">
                <a:solidFill>
                  <a:srgbClr val="000000"/>
                </a:solidFill>
              </a:ln>
            </c:spPr>
            <c:trendlineType val="power"/>
            <c:forward val="51"/>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spPr>
                <a:solidFill>
                  <a:srgbClr val="FFFFFF"/>
                </a:solidFill>
                <a:ln w="3175">
                  <a:noFill/>
                </a:ln>
              </c:spPr>
            </c:trendlineLbl>
          </c:trendline>
          <c:xVal>
            <c:numRef>
              <c:f>'E-Motor'!$J$80:$J$87</c:f>
              <c:numCache/>
            </c:numRef>
          </c:xVal>
          <c:yVal>
            <c:numRef>
              <c:f>'E-Motor'!$K$80:$K$87</c:f>
              <c:numCache/>
            </c:numRef>
          </c:yVal>
          <c:smooth val="1"/>
        </c:ser>
        <c:ser>
          <c:idx val="1"/>
          <c:order val="1"/>
          <c:tx>
            <c:v>Antares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'E-Motor'!$J$89</c:f>
              <c:numCache/>
            </c:numRef>
          </c:xVal>
          <c:yVal>
            <c:numRef>
              <c:f>'E-Motor'!$K$89</c:f>
              <c:numCache/>
            </c:numRef>
          </c:yVal>
          <c:smooth val="1"/>
        </c:ser>
        <c:ser>
          <c:idx val="2"/>
          <c:order val="2"/>
          <c:tx>
            <c:v>Icaré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'E-Motor'!$J$91</c:f>
              <c:numCache/>
            </c:numRef>
          </c:xVal>
          <c:yVal>
            <c:numRef>
              <c:f>'E-Motor'!$K$91</c:f>
              <c:numCache/>
            </c:numRef>
          </c:yVal>
          <c:smooth val="1"/>
        </c:ser>
        <c:ser>
          <c:idx val="3"/>
          <c:order val="3"/>
          <c:tx>
            <c:v>AE-1 Silent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00"/>
                </a:solidFill>
              </a:ln>
            </c:spPr>
          </c:marker>
          <c:xVal>
            <c:numRef>
              <c:f>'E-Motor'!$J$93</c:f>
              <c:numCache/>
            </c:numRef>
          </c:xVal>
          <c:yVal>
            <c:numRef>
              <c:f>'E-Motor'!$K$93</c:f>
              <c:numCache/>
            </c:numRef>
          </c:yVal>
          <c:smooth val="1"/>
        </c:ser>
        <c:ser>
          <c:idx val="4"/>
          <c:order val="4"/>
          <c:tx>
            <c:v>Student project:          electric racing aircraft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00"/>
                </a:solidFill>
              </a:ln>
            </c:spPr>
          </c:marker>
          <c:xVal>
            <c:numRef>
              <c:f>'E-Motor'!$J$95</c:f>
              <c:numCache/>
            </c:numRef>
          </c:xVal>
          <c:yVal>
            <c:numRef>
              <c:f>'E-Motor'!$K$95</c:f>
              <c:numCache/>
            </c:numRef>
          </c:yVal>
          <c:smooth val="1"/>
        </c:ser>
        <c:ser>
          <c:idx val="5"/>
          <c:order val="5"/>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'E-Motor'!$N$79:$N$95</c:f>
              <c:numCache/>
            </c:numRef>
          </c:yVal>
          <c:smooth val="1"/>
        </c:ser>
        <c:ser>
          <c:idx val="6"/>
          <c:order val="6"/>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'E-Motor'!$O$79:$O$95</c:f>
              <c:numCache/>
            </c:numRef>
          </c:yVal>
          <c:smooth val="1"/>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power"/>
            <c:forward val="5"/>
            <c:dispEq val="1"/>
            <c:dispRSqr val="0"/>
            <c:trendlineLbl>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c:spPr>
                <a:solidFill>
                  <a:srgbClr val="FFFFFF"/>
                </a:solidFill>
                <a:ln w="3175">
                  <a:noFill/>
                </a:ln>
              </c:spPr>
            </c:trendlineLbl>
          </c:trendline>
          <c:xVal>
            <c:numRef>
              <c:f>'E-Motor'!$J$96:$J$97</c:f>
              <c:numCache/>
            </c:numRef>
          </c:xVal>
          <c:yVal>
            <c:numRef>
              <c:f>'E-Motor'!$K$96:$K$97</c:f>
              <c:numCache/>
            </c:numRef>
          </c:yVal>
          <c:smooth val="1"/>
        </c:ser>
        <c:ser>
          <c:idx val="8"/>
          <c:order val="8"/>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'E-Motor'!$M$79:$M$95</c:f>
              <c:numCache/>
            </c:numRef>
          </c:yVal>
          <c:smooth val="1"/>
        </c:ser>
        <c:ser>
          <c:idx val="9"/>
          <c:order val="9"/>
          <c:tx>
            <c:v>Required Shaft Power</c:v>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'E-Motor'!$M$96:$M$97</c:f>
              <c:numCache/>
            </c:numRef>
          </c:xVal>
          <c:yVal>
            <c:numRef>
              <c:f>'E-Motor'!$N$96:$N$97</c:f>
              <c:numCache/>
            </c:numRef>
          </c:yVal>
          <c:smooth val="1"/>
        </c:ser>
        <c:axId val="1002222"/>
        <c:axId val="9019999"/>
      </c:scatterChart>
      <c:valAx>
        <c:axId val="1002222"/>
        <c:scaling>
          <c:orientation val="minMax"/>
          <c:max val="80"/>
        </c:scaling>
        <c:axPos val="b"/>
        <c:title>
          <c:tx>
            <c:rich>
              <a:bodyPr vert="horz" rot="0" anchor="ctr"/>
              <a:lstStyle/>
              <a:p>
                <a:pPr algn="ctr">
                  <a:defRPr/>
                </a:pPr>
                <a:r>
                  <a:rPr lang="en-US" cap="none" sz="1125" b="1" i="0" u="none" baseline="0">
                    <a:solidFill>
                      <a:srgbClr val="000000"/>
                    </a:solidFill>
                    <a:latin typeface="Arial"/>
                    <a:ea typeface="Arial"/>
                    <a:cs typeface="Arial"/>
                  </a:rPr>
                  <a:t>kW</a:t>
                </a:r>
              </a:p>
            </c:rich>
          </c:tx>
          <c:layout>
            <c:manualLayout>
              <c:xMode val="factor"/>
              <c:yMode val="factor"/>
              <c:x val="0.002"/>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25" b="0" i="0" u="none" baseline="0">
                <a:solidFill>
                  <a:srgbClr val="000000"/>
                </a:solidFill>
                <a:latin typeface="Arial"/>
                <a:ea typeface="Arial"/>
                <a:cs typeface="Arial"/>
              </a:defRPr>
            </a:pPr>
          </a:p>
        </c:txPr>
        <c:crossAx val="9019999"/>
        <c:crosses val="autoZero"/>
        <c:crossBetween val="midCat"/>
        <c:dispUnits/>
        <c:minorUnit val="1"/>
      </c:valAx>
      <c:valAx>
        <c:axId val="9019999"/>
        <c:scaling>
          <c:orientation val="minMax"/>
          <c:max val="45"/>
        </c:scaling>
        <c:axPos val="l"/>
        <c:title>
          <c:tx>
            <c:rich>
              <a:bodyPr vert="horz" rot="-5400000" anchor="ctr"/>
              <a:lstStyle/>
              <a:p>
                <a:pPr algn="ctr">
                  <a:defRPr/>
                </a:pPr>
                <a:r>
                  <a:rPr lang="en-US" cap="none" sz="1125" b="1" i="0" u="none" baseline="0">
                    <a:solidFill>
                      <a:srgbClr val="000000"/>
                    </a:solidFill>
                    <a:latin typeface="Arial"/>
                    <a:ea typeface="Arial"/>
                    <a:cs typeface="Arial"/>
                  </a:rPr>
                  <a:t>kg</a:t>
                </a:r>
              </a:p>
            </c:rich>
          </c:tx>
          <c:layout>
            <c:manualLayout>
              <c:xMode val="factor"/>
              <c:yMode val="factor"/>
              <c:x val="0.000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25" b="0" i="0" u="none" baseline="0">
                <a:solidFill>
                  <a:srgbClr val="000000"/>
                </a:solidFill>
                <a:latin typeface="Arial"/>
                <a:ea typeface="Arial"/>
                <a:cs typeface="Arial"/>
              </a:defRPr>
            </a:pPr>
          </a:p>
        </c:txPr>
        <c:crossAx val="1002222"/>
        <c:crosses val="autoZero"/>
        <c:crossBetween val="midCat"/>
        <c:dispUnits/>
      </c:valAx>
      <c:spPr>
        <a:solidFill>
          <a:srgbClr val="C0C0C0"/>
        </a:solidFill>
        <a:ln w="12700">
          <a:solidFill>
            <a:srgbClr val="808080"/>
          </a:solidFill>
        </a:ln>
      </c:spPr>
    </c:plotArea>
    <c:legend>
      <c:legendPos val="r"/>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8095"/>
          <c:y val="0.78025"/>
          <c:w val="0.14925"/>
          <c:h val="0.14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IC Engine Mass by Shaft Power</a:t>
            </a:r>
          </a:p>
        </c:rich>
      </c:tx>
      <c:layout>
        <c:manualLayout>
          <c:xMode val="factor"/>
          <c:yMode val="factor"/>
          <c:x val="0.01575"/>
          <c:y val="-0.02025"/>
        </c:manualLayout>
      </c:layout>
      <c:spPr>
        <a:noFill/>
        <a:ln>
          <a:noFill/>
        </a:ln>
      </c:spPr>
    </c:title>
    <c:plotArea>
      <c:layout>
        <c:manualLayout>
          <c:xMode val="edge"/>
          <c:yMode val="edge"/>
          <c:x val="0.02175"/>
          <c:y val="0.04475"/>
          <c:w val="0.97825"/>
          <c:h val="0.93075"/>
        </c:manualLayout>
      </c:layout>
      <c:scatterChart>
        <c:scatterStyle val="lineMarker"/>
        <c:varyColors val="0"/>
        <c:ser>
          <c:idx val="0"/>
          <c:order val="0"/>
          <c:tx>
            <c:v>Hirth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'IC Engine'!$E$53:$E$66</c:f>
              <c:numCache/>
            </c:numRef>
          </c:xVal>
          <c:yVal>
            <c:numRef>
              <c:f>'IC Engine'!$D$53:$D$66</c:f>
              <c:numCache/>
            </c:numRef>
          </c:yVal>
          <c:smooth val="0"/>
        </c:ser>
        <c:ser>
          <c:idx val="5"/>
          <c:order val="1"/>
          <c:tx>
            <c:v>Rotax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'IC Engine'!$I$53:$I$61</c:f>
              <c:numCache/>
            </c:numRef>
          </c:xVal>
          <c:yVal>
            <c:numRef>
              <c:f>'IC Engine'!$H$53:$H$61</c:f>
              <c:numCache/>
            </c:numRef>
          </c:yVal>
          <c:smooth val="0"/>
        </c:ser>
        <c:ser>
          <c:idx val="8"/>
          <c:order val="2"/>
          <c:tx>
            <c:v>Jabiru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00"/>
                </a:solidFill>
              </a:ln>
            </c:spPr>
          </c:marker>
          <c:xVal>
            <c:numRef>
              <c:f>'IC Engine'!$I$63:$I$66</c:f>
              <c:numCache/>
            </c:numRef>
          </c:xVal>
          <c:yVal>
            <c:numRef>
              <c:f>'IC Engine'!$H$63:$H$66</c:f>
              <c:numCache/>
            </c:numRef>
          </c:yVal>
          <c:smooth val="0"/>
        </c:ser>
        <c:ser>
          <c:idx val="3"/>
          <c:order val="3"/>
          <c:tx>
            <c:v>Limbach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trendline>
            <c:spPr>
              <a:ln w="3175">
                <a:solidFill>
                  <a:srgbClr val="000000"/>
                </a:solidFill>
              </a:ln>
            </c:spPr>
            <c:trendlineType val="linear"/>
            <c:backward val="15"/>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Limbach
y = 0,4862x + 46,217</a:t>
                    </a:r>
                  </a:p>
                </c:rich>
              </c:tx>
              <c:numFmt formatCode="General"/>
              <c:spPr>
                <a:solidFill>
                  <a:srgbClr val="FFFFFF"/>
                </a:solidFill>
                <a:ln w="3175">
                  <a:noFill/>
                </a:ln>
              </c:spPr>
            </c:trendlineLbl>
          </c:trendline>
          <c:xVal>
            <c:numRef>
              <c:f>'IC Engine'!$G$57:$G$67</c:f>
              <c:numCache/>
            </c:numRef>
          </c:xVal>
          <c:yVal>
            <c:numRef>
              <c:f>'IC Engine'!$F$57:$F$67</c:f>
              <c:numCache/>
            </c:numRef>
          </c:yVal>
          <c:smooth val="0"/>
        </c:ser>
        <c:ser>
          <c:idx val="6"/>
          <c:order val="4"/>
          <c:tx>
            <c:v>Arrow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00"/>
                </a:solidFill>
              </a:ln>
            </c:spPr>
          </c:marker>
          <c:xVal>
            <c:numRef>
              <c:f>'IC Engine'!$E$68:$E$70</c:f>
              <c:numCache/>
            </c:numRef>
          </c:xVal>
          <c:yVal>
            <c:numRef>
              <c:f>'IC Engine'!$D$68:$D$70</c:f>
              <c:numCache/>
            </c:numRef>
          </c:yVal>
          <c:smooth val="0"/>
        </c:ser>
        <c:ser>
          <c:idx val="2"/>
          <c:order val="5"/>
          <c:tx>
            <c:v>Teledyne Continental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trendline>
            <c:spPr>
              <a:ln w="3175">
                <a:solidFill>
                  <a:srgbClr val="000000"/>
                </a:solidFill>
              </a:ln>
            </c:spPr>
            <c:trendlineType val="linear"/>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Teledyne Continental
y = 0,8677x + 14,069</a:t>
                    </a:r>
                  </a:p>
                </c:rich>
              </c:tx>
              <c:numFmt formatCode="General"/>
              <c:spPr>
                <a:solidFill>
                  <a:srgbClr val="FFFFFF"/>
                </a:solidFill>
                <a:ln w="3175">
                  <a:noFill/>
                </a:ln>
              </c:spPr>
            </c:trendlineLbl>
          </c:trendline>
          <c:xVal>
            <c:numRef>
              <c:f>'IC Engine'!$G$69:$G$72</c:f>
              <c:numCache/>
            </c:numRef>
          </c:xVal>
          <c:yVal>
            <c:numRef>
              <c:f>'IC Engine'!$F$69:$F$72</c:f>
              <c:numCache/>
            </c:numRef>
          </c:yVal>
          <c:smooth val="0"/>
        </c:ser>
        <c:ser>
          <c:idx val="1"/>
          <c:order val="6"/>
          <c:tx>
            <c:v>Textron Lycoming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trendline>
            <c:spPr>
              <a:ln w="3175">
                <a:solidFill>
                  <a:srgbClr val="000000"/>
                </a:solidFill>
              </a:ln>
            </c:spPr>
            <c:trendlineType val="linear"/>
            <c:forward val="30"/>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Textron Lycoming
y = 0,4739x + 56,496</a:t>
                    </a:r>
                  </a:p>
                </c:rich>
              </c:tx>
              <c:numFmt formatCode="General"/>
              <c:spPr>
                <a:solidFill>
                  <a:srgbClr val="FFFFFF"/>
                </a:solidFill>
                <a:ln w="3175">
                  <a:noFill/>
                </a:ln>
              </c:spPr>
            </c:trendlineLbl>
          </c:trendline>
          <c:xVal>
            <c:numRef>
              <c:f>'IC Engine'!$I$68:$I$72</c:f>
              <c:numCache/>
            </c:numRef>
          </c:xVal>
          <c:yVal>
            <c:numRef>
              <c:f>'IC Engine'!$H$68:$H$72</c:f>
              <c:numCache/>
            </c:numRef>
          </c:yVal>
          <c:smooth val="0"/>
        </c:ser>
        <c:ser>
          <c:idx val="7"/>
          <c:order val="7"/>
          <c:tx>
            <c:v>Diesel engines (Diesel Air / Thielert)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trendline>
            <c:spPr>
              <a:ln w="3175">
                <a:solidFill>
                  <a:srgbClr val="000000"/>
                </a:solidFill>
              </a:ln>
            </c:spPr>
            <c:trendlineType val="linear"/>
            <c:forward val="4"/>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Diesel engines
y = 1,4175x - 8,1447</a:t>
                    </a:r>
                  </a:p>
                </c:rich>
              </c:tx>
              <c:numFmt formatCode="General"/>
              <c:spPr>
                <a:solidFill>
                  <a:srgbClr val="FFFFFF"/>
                </a:solidFill>
                <a:ln w="3175">
                  <a:noFill/>
                </a:ln>
              </c:spPr>
            </c:trendlineLbl>
          </c:trendline>
          <c:xVal>
            <c:numRef>
              <c:f>'IC Engine'!$G$53:$G$55</c:f>
              <c:numCache/>
            </c:numRef>
          </c:xVal>
          <c:yVal>
            <c:numRef>
              <c:f>'IC Engine'!$F$53:$F$55</c:f>
              <c:numCache/>
            </c:numRef>
          </c:yVal>
          <c:smooth val="0"/>
        </c:ser>
        <c:ser>
          <c:idx val="4"/>
          <c:order val="8"/>
          <c:spPr>
            <a:ln w="3175">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'IC Engine'!$E$71:$E$72</c:f>
              <c:numCache/>
            </c:numRef>
          </c:xVal>
          <c:yVal>
            <c:numRef>
              <c:f>'IC Engine'!$D$71:$D$72</c:f>
              <c:numCache/>
            </c:numRef>
          </c:yVal>
          <c:smooth val="0"/>
        </c:ser>
        <c:ser>
          <c:idx val="9"/>
          <c:order val="9"/>
          <c:tx>
            <c:v>Hirth / Rotax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forward val="20"/>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Hirth / Rotax 1
y = 0,2729x + 20,063</a:t>
                    </a:r>
                  </a:p>
                </c:rich>
              </c:tx>
              <c:numFmt formatCode="General"/>
              <c:spPr>
                <a:solidFill>
                  <a:srgbClr val="FFFFFF"/>
                </a:solidFill>
                <a:ln w="3175">
                  <a:noFill/>
                </a:ln>
              </c:spPr>
            </c:trendlineLbl>
          </c:trendline>
          <c:xVal>
            <c:numRef>
              <c:f>'IC Engine'!$L$52:$L$71</c:f>
              <c:numCache/>
            </c:numRef>
          </c:xVal>
          <c:yVal>
            <c:numRef>
              <c:f>'IC Engine'!$K$52:$K$71</c:f>
              <c:numCache/>
            </c:numRef>
          </c:yVal>
          <c:smooth val="0"/>
        </c:ser>
        <c:ser>
          <c:idx val="10"/>
          <c:order val="10"/>
          <c:tx>
            <c:v>Rotax 2 / Arrow / Jabiru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Rotax 2 / Arrow / Jabiru
y = 0,5015x + 25,457</a:t>
                    </a:r>
                  </a:p>
                </c:rich>
              </c:tx>
              <c:numFmt formatCode="General"/>
              <c:spPr>
                <a:solidFill>
                  <a:srgbClr val="FFFFFF"/>
                </a:solidFill>
                <a:ln w="3175">
                  <a:noFill/>
                </a:ln>
              </c:spPr>
            </c:trendlineLbl>
          </c:trendline>
          <c:xVal>
            <c:numRef>
              <c:f>'IC Engine'!$O$52:$O$61</c:f>
              <c:numCache/>
            </c:numRef>
          </c:xVal>
          <c:yVal>
            <c:numRef>
              <c:f>'IC Engine'!$N$52:$N$61</c:f>
              <c:numCache/>
            </c:numRef>
          </c:yVal>
          <c:smooth val="0"/>
        </c:ser>
        <c:axId val="14071128"/>
        <c:axId val="59531289"/>
      </c:scatterChart>
      <c:valAx>
        <c:axId val="14071128"/>
        <c:scaling>
          <c:orientation val="minMax"/>
          <c:max val="180"/>
          <c:min val="0"/>
        </c:scaling>
        <c:axPos val="b"/>
        <c:title>
          <c:tx>
            <c:rich>
              <a:bodyPr vert="horz" rot="0" anchor="ctr"/>
              <a:lstStyle/>
              <a:p>
                <a:pPr algn="ctr">
                  <a:defRPr/>
                </a:pPr>
                <a:r>
                  <a:rPr lang="en-US" cap="none" sz="1075" b="1" i="0" u="none" baseline="0">
                    <a:solidFill>
                      <a:srgbClr val="000000"/>
                    </a:solidFill>
                    <a:latin typeface="Arial"/>
                    <a:ea typeface="Arial"/>
                    <a:cs typeface="Arial"/>
                  </a:rPr>
                  <a:t>kW</a:t>
                </a:r>
              </a:p>
            </c:rich>
          </c:tx>
          <c:layout>
            <c:manualLayout>
              <c:xMode val="factor"/>
              <c:yMode val="factor"/>
              <c:x val="0.00275"/>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crossAx val="59531289"/>
        <c:crosses val="autoZero"/>
        <c:crossBetween val="midCat"/>
        <c:dispUnits/>
        <c:majorUnit val="10"/>
        <c:minorUnit val="2"/>
      </c:valAx>
      <c:valAx>
        <c:axId val="59531289"/>
        <c:scaling>
          <c:orientation val="minMax"/>
          <c:max val="15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kg</a:t>
                </a:r>
              </a:p>
            </c:rich>
          </c:tx>
          <c:layout>
            <c:manualLayout>
              <c:xMode val="factor"/>
              <c:yMode val="factor"/>
              <c:x val="0.00175"/>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crossAx val="14071128"/>
        <c:crosses val="autoZero"/>
        <c:crossBetween val="midCat"/>
        <c:dispUnits/>
        <c:majorUnit val="10"/>
        <c:minorUnit val="2"/>
      </c:valAx>
      <c:spPr>
        <a:solidFill>
          <a:srgbClr val="C0C0C0"/>
        </a:solidFill>
        <a:ln w="12700">
          <a:solidFill>
            <a:srgbClr val="808080"/>
          </a:solid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ayout>
        <c:manualLayout>
          <c:xMode val="edge"/>
          <c:yMode val="edge"/>
          <c:x val="0.77"/>
          <c:y val="0.598"/>
          <c:w val="0.2025"/>
          <c:h val="0.320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7.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e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emf" /><Relationship Id="rId7" Type="http://schemas.openxmlformats.org/officeDocument/2006/relationships/image" Target="../media/image7.wmf" /><Relationship Id="rId8" Type="http://schemas.openxmlformats.org/officeDocument/2006/relationships/image" Target="../media/image8.e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wmf" /><Relationship Id="rId3" Type="http://schemas.openxmlformats.org/officeDocument/2006/relationships/image" Target="../media/image14.wmf" /><Relationship Id="rId4" Type="http://schemas.openxmlformats.org/officeDocument/2006/relationships/image" Target="../media/image15.wmf" /><Relationship Id="rId5" Type="http://schemas.openxmlformats.org/officeDocument/2006/relationships/image" Target="../media/image16.wmf" /><Relationship Id="rId6" Type="http://schemas.openxmlformats.org/officeDocument/2006/relationships/image" Target="../media/image17.wmf" /><Relationship Id="rId7" Type="http://schemas.openxmlformats.org/officeDocument/2006/relationships/image" Target="../media/image18.wmf" /><Relationship Id="rId8" Type="http://schemas.openxmlformats.org/officeDocument/2006/relationships/image" Target="../media/image14.wmf" /><Relationship Id="rId9" Type="http://schemas.openxmlformats.org/officeDocument/2006/relationships/image" Target="../media/image15.wmf" /><Relationship Id="rId10" Type="http://schemas.openxmlformats.org/officeDocument/2006/relationships/image" Target="../media/image16.wmf" /><Relationship Id="rId11" Type="http://schemas.openxmlformats.org/officeDocument/2006/relationships/image" Target="../media/image17.wmf" /><Relationship Id="rId12" Type="http://schemas.openxmlformats.org/officeDocument/2006/relationships/image" Target="../media/image18.wmf" /><Relationship Id="rId13" Type="http://schemas.openxmlformats.org/officeDocument/2006/relationships/image" Target="../media/image14.wmf" /><Relationship Id="rId14" Type="http://schemas.openxmlformats.org/officeDocument/2006/relationships/image" Target="../media/image15.wmf" /><Relationship Id="rId15" Type="http://schemas.openxmlformats.org/officeDocument/2006/relationships/image" Target="../media/image16.wmf" /><Relationship Id="rId16" Type="http://schemas.openxmlformats.org/officeDocument/2006/relationships/image" Target="../media/image17.wmf" /><Relationship Id="rId17" Type="http://schemas.openxmlformats.org/officeDocument/2006/relationships/image" Target="../media/image18.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9.wmf" /><Relationship Id="rId2" Type="http://schemas.openxmlformats.org/officeDocument/2006/relationships/image" Target="../media/image20.wmf" /><Relationship Id="rId3" Type="http://schemas.openxmlformats.org/officeDocument/2006/relationships/image" Target="../media/image2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3.emf" /><Relationship Id="rId3" Type="http://schemas.openxmlformats.org/officeDocument/2006/relationships/image" Target="../media/image2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7.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6.emf" /><Relationship Id="rId3" Type="http://schemas.openxmlformats.org/officeDocument/2006/relationships/image" Target="../media/image7.wmf" /><Relationship Id="rId4" Type="http://schemas.openxmlformats.org/officeDocument/2006/relationships/image" Target="../media/image8.emf" /><Relationship Id="rId5" Type="http://schemas.openxmlformats.org/officeDocument/2006/relationships/image" Target="../media/image9.wmf" /><Relationship Id="rId6" Type="http://schemas.openxmlformats.org/officeDocument/2006/relationships/image" Target="../media/image1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6.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54</xdr:row>
      <xdr:rowOff>66675</xdr:rowOff>
    </xdr:from>
    <xdr:to>
      <xdr:col>8</xdr:col>
      <xdr:colOff>171450</xdr:colOff>
      <xdr:row>97</xdr:row>
      <xdr:rowOff>95250</xdr:rowOff>
    </xdr:to>
    <xdr:graphicFrame>
      <xdr:nvGraphicFramePr>
        <xdr:cNvPr id="1" name="Chart 10"/>
        <xdr:cNvGraphicFramePr/>
      </xdr:nvGraphicFramePr>
      <xdr:xfrm>
        <a:off x="209550" y="9191625"/>
        <a:ext cx="6562725" cy="508635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102</xdr:row>
      <xdr:rowOff>0</xdr:rowOff>
    </xdr:from>
    <xdr:to>
      <xdr:col>8</xdr:col>
      <xdr:colOff>171450</xdr:colOff>
      <xdr:row>148</xdr:row>
      <xdr:rowOff>47625</xdr:rowOff>
    </xdr:to>
    <xdr:graphicFrame>
      <xdr:nvGraphicFramePr>
        <xdr:cNvPr id="2" name="Chart 13"/>
        <xdr:cNvGraphicFramePr/>
      </xdr:nvGraphicFramePr>
      <xdr:xfrm>
        <a:off x="209550" y="14944725"/>
        <a:ext cx="6562725" cy="59912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4</xdr:row>
      <xdr:rowOff>9525</xdr:rowOff>
    </xdr:from>
    <xdr:to>
      <xdr:col>21</xdr:col>
      <xdr:colOff>66675</xdr:colOff>
      <xdr:row>25</xdr:row>
      <xdr:rowOff>85725</xdr:rowOff>
    </xdr:to>
    <xdr:sp>
      <xdr:nvSpPr>
        <xdr:cNvPr id="1" name="Text Box 8"/>
        <xdr:cNvSpPr txBox="1">
          <a:spLocks noChangeArrowheads="1"/>
        </xdr:cNvSpPr>
      </xdr:nvSpPr>
      <xdr:spPr>
        <a:xfrm>
          <a:off x="9144000" y="723900"/>
          <a:ext cx="6134100" cy="38766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Erste Ergebnisse:
</a:t>
          </a:r>
          <a:r>
            <a:rPr lang="en-US" cap="none" sz="1000" b="0" i="0" u="none" baseline="0">
              <a:solidFill>
                <a:srgbClr val="000000"/>
              </a:solidFill>
              <a:latin typeface="Arial"/>
              <a:ea typeface="Arial"/>
              <a:cs typeface="Arial"/>
            </a:rPr>
            <a:t>- es wird mehr energie verbraucht (klar! sehr viel schwerer); beim richtigen energiemix aber sauberere energie
</a:t>
          </a:r>
          <a:r>
            <a:rPr lang="en-US" cap="none" sz="1000" b="0" i="0" u="none" baseline="0">
              <a:solidFill>
                <a:srgbClr val="000000"/>
              </a:solidFill>
              <a:latin typeface="Arial"/>
              <a:ea typeface="Arial"/>
              <a:cs typeface="Arial"/>
            </a:rPr>
            <a:t>- elektrische energie ist günstiger als avgas ---&gt; wie steht's, wenn kein avgas, sondern ein diesel motor verwendet wird??? kostenvorteil deutlich geringer
</a:t>
          </a:r>
          <a:r>
            <a:rPr lang="en-US" cap="none" sz="1000" b="0" i="0" u="none" baseline="0">
              <a:solidFill>
                <a:srgbClr val="000000"/>
              </a:solidFill>
              <a:latin typeface="Arial"/>
              <a:ea typeface="Arial"/>
              <a:cs typeface="Arial"/>
            </a:rPr>
            <a:t>- leise beim start kommt nicht zum tragen, da hier eine ic engine benötigt wird, reiner e flight nur cruise
</a:t>
          </a:r>
          <a:r>
            <a:rPr lang="en-US" cap="none" sz="1000" b="0" i="0" u="none" baseline="0">
              <a:solidFill>
                <a:srgbClr val="000000"/>
              </a:solidFill>
              <a:latin typeface="Arial"/>
              <a:ea typeface="Arial"/>
              <a:cs typeface="Arial"/>
            </a:rPr>
            <a:t>- hybrid oder cruise rein elektrisch ist besonders von vorteil, wenn tief, schnell und kurz geflogen wird, da das hohe gewicht weniger hoch und weit getragen werden muss. 
</a:t>
          </a:r>
          <a:r>
            <a:rPr lang="en-US" cap="none" sz="1000" b="0" i="0" u="none" baseline="0">
              <a:solidFill>
                <a:srgbClr val="000000"/>
              </a:solidFill>
              <a:latin typeface="Arial"/>
              <a:ea typeface="Arial"/>
              <a:cs typeface="Arial"/>
            </a:rPr>
            <a:t>- warum höhere geschw relativ von vorteil? Answer: höhere Vmd und Vmp wegen einfluss der wing loading
</a:t>
          </a:r>
          <a:r>
            <a:rPr lang="en-US" cap="none" sz="1000" b="0" i="0" u="none" baseline="0">
              <a:solidFill>
                <a:srgbClr val="000000"/>
              </a:solidFill>
              <a:latin typeface="Arial"/>
              <a:ea typeface="Arial"/>
              <a:cs typeface="Arial"/>
            </a:rPr>
            <a:t>
</a:t>
          </a:r>
        </a:p>
      </xdr:txBody>
    </xdr:sp>
    <xdr:clientData/>
  </xdr:twoCellAnchor>
  <xdr:twoCellAnchor>
    <xdr:from>
      <xdr:col>4</xdr:col>
      <xdr:colOff>228600</xdr:colOff>
      <xdr:row>42</xdr:row>
      <xdr:rowOff>0</xdr:rowOff>
    </xdr:from>
    <xdr:to>
      <xdr:col>5</xdr:col>
      <xdr:colOff>304800</xdr:colOff>
      <xdr:row>42</xdr:row>
      <xdr:rowOff>0</xdr:rowOff>
    </xdr:to>
    <xdr:sp>
      <xdr:nvSpPr>
        <xdr:cNvPr id="2" name="Line 43"/>
        <xdr:cNvSpPr>
          <a:spLocks/>
        </xdr:cNvSpPr>
      </xdr:nvSpPr>
      <xdr:spPr>
        <a:xfrm flipH="1">
          <a:off x="2705100" y="688657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42</xdr:row>
      <xdr:rowOff>9525</xdr:rowOff>
    </xdr:from>
    <xdr:to>
      <xdr:col>4</xdr:col>
      <xdr:colOff>228600</xdr:colOff>
      <xdr:row>77</xdr:row>
      <xdr:rowOff>57150</xdr:rowOff>
    </xdr:to>
    <xdr:sp>
      <xdr:nvSpPr>
        <xdr:cNvPr id="3" name="Line 44"/>
        <xdr:cNvSpPr>
          <a:spLocks/>
        </xdr:cNvSpPr>
      </xdr:nvSpPr>
      <xdr:spPr>
        <a:xfrm>
          <a:off x="2705100" y="6896100"/>
          <a:ext cx="0" cy="404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55</xdr:row>
      <xdr:rowOff>9525</xdr:rowOff>
    </xdr:from>
    <xdr:to>
      <xdr:col>15</xdr:col>
      <xdr:colOff>609600</xdr:colOff>
      <xdr:row>63</xdr:row>
      <xdr:rowOff>38100</xdr:rowOff>
    </xdr:to>
    <xdr:sp>
      <xdr:nvSpPr>
        <xdr:cNvPr id="4" name="Text Box 488"/>
        <xdr:cNvSpPr txBox="1">
          <a:spLocks noChangeArrowheads="1"/>
        </xdr:cNvSpPr>
      </xdr:nvSpPr>
      <xdr:spPr>
        <a:xfrm>
          <a:off x="8524875" y="8382000"/>
          <a:ext cx="2724150" cy="9429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Fuel and shaft power needed for same take-off performance as ref a/c and climb to hcr to be included in later versions</a:t>
          </a:r>
        </a:p>
      </xdr:txBody>
    </xdr:sp>
    <xdr:clientData/>
  </xdr:twoCellAnchor>
  <xdr:twoCellAnchor>
    <xdr:from>
      <xdr:col>10</xdr:col>
      <xdr:colOff>676275</xdr:colOff>
      <xdr:row>67</xdr:row>
      <xdr:rowOff>66675</xdr:rowOff>
    </xdr:from>
    <xdr:to>
      <xdr:col>13</xdr:col>
      <xdr:colOff>142875</xdr:colOff>
      <xdr:row>70</xdr:row>
      <xdr:rowOff>66675</xdr:rowOff>
    </xdr:to>
    <xdr:sp>
      <xdr:nvSpPr>
        <xdr:cNvPr id="5" name="Line 489"/>
        <xdr:cNvSpPr>
          <a:spLocks/>
        </xdr:cNvSpPr>
      </xdr:nvSpPr>
      <xdr:spPr>
        <a:xfrm>
          <a:off x="7324725" y="9810750"/>
          <a:ext cx="18478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32</xdr:row>
      <xdr:rowOff>76200</xdr:rowOff>
    </xdr:from>
    <xdr:to>
      <xdr:col>8</xdr:col>
      <xdr:colOff>695325</xdr:colOff>
      <xdr:row>72</xdr:row>
      <xdr:rowOff>76200</xdr:rowOff>
    </xdr:to>
    <xdr:graphicFrame>
      <xdr:nvGraphicFramePr>
        <xdr:cNvPr id="1" name="Chart 8"/>
        <xdr:cNvGraphicFramePr/>
      </xdr:nvGraphicFramePr>
      <xdr:xfrm>
        <a:off x="76200" y="5391150"/>
        <a:ext cx="6715125" cy="47815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57150</xdr:rowOff>
    </xdr:from>
    <xdr:to>
      <xdr:col>7</xdr:col>
      <xdr:colOff>704850</xdr:colOff>
      <xdr:row>48</xdr:row>
      <xdr:rowOff>28575</xdr:rowOff>
    </xdr:to>
    <xdr:graphicFrame>
      <xdr:nvGraphicFramePr>
        <xdr:cNvPr id="1" name="Chart 1"/>
        <xdr:cNvGraphicFramePr/>
      </xdr:nvGraphicFramePr>
      <xdr:xfrm>
        <a:off x="66675" y="2066925"/>
        <a:ext cx="5981700" cy="4257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63</xdr:row>
      <xdr:rowOff>85725</xdr:rowOff>
    </xdr:from>
    <xdr:to>
      <xdr:col>7</xdr:col>
      <xdr:colOff>676275</xdr:colOff>
      <xdr:row>102</xdr:row>
      <xdr:rowOff>95250</xdr:rowOff>
    </xdr:to>
    <xdr:graphicFrame>
      <xdr:nvGraphicFramePr>
        <xdr:cNvPr id="2" name="Chart 5"/>
        <xdr:cNvGraphicFramePr/>
      </xdr:nvGraphicFramePr>
      <xdr:xfrm>
        <a:off x="38100" y="8829675"/>
        <a:ext cx="5981700" cy="50958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16</xdr:row>
      <xdr:rowOff>38100</xdr:rowOff>
    </xdr:from>
    <xdr:to>
      <xdr:col>9</xdr:col>
      <xdr:colOff>76200</xdr:colOff>
      <xdr:row>20</xdr:row>
      <xdr:rowOff>114300</xdr:rowOff>
    </xdr:to>
    <xdr:sp>
      <xdr:nvSpPr>
        <xdr:cNvPr id="1" name="Text Box 7"/>
        <xdr:cNvSpPr txBox="1">
          <a:spLocks noChangeArrowheads="1"/>
        </xdr:cNvSpPr>
      </xdr:nvSpPr>
      <xdr:spPr>
        <a:xfrm>
          <a:off x="4676775" y="2695575"/>
          <a:ext cx="2295525" cy="7239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SFC hier nicht höhenabhängig und noch immer die vom ref a/c</a:t>
          </a:r>
        </a:p>
      </xdr:txBody>
    </xdr:sp>
    <xdr:clientData/>
  </xdr:twoCellAnchor>
  <xdr:oneCellAnchor>
    <xdr:from>
      <xdr:col>7</xdr:col>
      <xdr:colOff>123825</xdr:colOff>
      <xdr:row>30</xdr:row>
      <xdr:rowOff>104775</xdr:rowOff>
    </xdr:from>
    <xdr:ext cx="1562100" cy="762000"/>
    <xdr:sp>
      <xdr:nvSpPr>
        <xdr:cNvPr id="2" name="Text Box 23"/>
        <xdr:cNvSpPr txBox="1">
          <a:spLocks noChangeArrowheads="1"/>
        </xdr:cNvSpPr>
      </xdr:nvSpPr>
      <xdr:spPr>
        <a:xfrm>
          <a:off x="5495925" y="5029200"/>
          <a:ext cx="1562100" cy="762000"/>
        </a:xfrm>
        <a:prstGeom prst="rect">
          <a:avLst/>
        </a:prstGeom>
        <a:solidFill>
          <a:srgbClr val="FFFF00"/>
        </a:solidFill>
        <a:ln w="9525" cmpd="sng">
          <a:solidFill>
            <a:srgbClr val="000000"/>
          </a:solidFill>
          <a:headEnd type="none"/>
          <a:tailEnd type="none"/>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Here: Greenpeace-Energy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(sue = 0,2 x scE)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 = 0,189 €/kWh</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49</xdr:row>
      <xdr:rowOff>0</xdr:rowOff>
    </xdr:from>
    <xdr:to>
      <xdr:col>9</xdr:col>
      <xdr:colOff>0</xdr:colOff>
      <xdr:row>52</xdr:row>
      <xdr:rowOff>0</xdr:rowOff>
    </xdr:to>
    <xdr:pic>
      <xdr:nvPicPr>
        <xdr:cNvPr id="1" name="Picture 18"/>
        <xdr:cNvPicPr preferRelativeResize="1">
          <a:picLocks noChangeAspect="1"/>
        </xdr:cNvPicPr>
      </xdr:nvPicPr>
      <xdr:blipFill>
        <a:blip r:embed="rId1"/>
        <a:stretch>
          <a:fillRect/>
        </a:stretch>
      </xdr:blipFill>
      <xdr:spPr>
        <a:xfrm>
          <a:off x="5867400" y="8115300"/>
          <a:ext cx="1123950" cy="485775"/>
        </a:xfrm>
        <a:prstGeom prst="rect">
          <a:avLst/>
        </a:prstGeom>
        <a:solidFill>
          <a:srgbClr val="FFFFFF"/>
        </a:solidFill>
        <a:ln w="3175" cmpd="sng">
          <a:solidFill>
            <a:srgbClr val="000000"/>
          </a:solidFill>
          <a:headEnd type="none"/>
          <a:tailEnd type="none"/>
        </a:ln>
      </xdr:spPr>
    </xdr:pic>
    <xdr:clientData/>
  </xdr:twoCellAnchor>
  <xdr:twoCellAnchor>
    <xdr:from>
      <xdr:col>8</xdr:col>
      <xdr:colOff>9525</xdr:colOff>
      <xdr:row>18</xdr:row>
      <xdr:rowOff>85725</xdr:rowOff>
    </xdr:from>
    <xdr:to>
      <xdr:col>15</xdr:col>
      <xdr:colOff>504825</xdr:colOff>
      <xdr:row>24</xdr:row>
      <xdr:rowOff>9525</xdr:rowOff>
    </xdr:to>
    <xdr:sp>
      <xdr:nvSpPr>
        <xdr:cNvPr id="2" name="Text Box 19"/>
        <xdr:cNvSpPr txBox="1">
          <a:spLocks noChangeArrowheads="1"/>
        </xdr:cNvSpPr>
      </xdr:nvSpPr>
      <xdr:spPr>
        <a:xfrm>
          <a:off x="6238875" y="3067050"/>
          <a:ext cx="5829300" cy="9620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twice as large values as given in raymer and lowry, but realistic results using this SFC</a:t>
          </a:r>
        </a:p>
      </xdr:txBody>
    </xdr:sp>
    <xdr:clientData/>
  </xdr:twoCellAnchor>
  <xdr:twoCellAnchor>
    <xdr:from>
      <xdr:col>8</xdr:col>
      <xdr:colOff>85725</xdr:colOff>
      <xdr:row>28</xdr:row>
      <xdr:rowOff>19050</xdr:rowOff>
    </xdr:from>
    <xdr:to>
      <xdr:col>15</xdr:col>
      <xdr:colOff>581025</xdr:colOff>
      <xdr:row>34</xdr:row>
      <xdr:rowOff>9525</xdr:rowOff>
    </xdr:to>
    <xdr:sp>
      <xdr:nvSpPr>
        <xdr:cNvPr id="3" name="Text Box 20"/>
        <xdr:cNvSpPr txBox="1">
          <a:spLocks noChangeArrowheads="1"/>
        </xdr:cNvSpPr>
      </xdr:nvSpPr>
      <xdr:spPr>
        <a:xfrm>
          <a:off x="6315075" y="4733925"/>
          <a:ext cx="5829300" cy="9620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too bad efficiencies (at least that's how it feels…)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Hoffmann data still to come</a:t>
          </a:r>
        </a:p>
      </xdr:txBody>
    </xdr:sp>
    <xdr:clientData/>
  </xdr:twoCellAnchor>
  <xdr:twoCellAnchor>
    <xdr:from>
      <xdr:col>6</xdr:col>
      <xdr:colOff>695325</xdr:colOff>
      <xdr:row>34</xdr:row>
      <xdr:rowOff>38100</xdr:rowOff>
    </xdr:from>
    <xdr:to>
      <xdr:col>8</xdr:col>
      <xdr:colOff>47625</xdr:colOff>
      <xdr:row>36</xdr:row>
      <xdr:rowOff>66675</xdr:rowOff>
    </xdr:to>
    <xdr:sp>
      <xdr:nvSpPr>
        <xdr:cNvPr id="4" name="Line 21"/>
        <xdr:cNvSpPr>
          <a:spLocks/>
        </xdr:cNvSpPr>
      </xdr:nvSpPr>
      <xdr:spPr>
        <a:xfrm flipH="1">
          <a:off x="5267325" y="5724525"/>
          <a:ext cx="10096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733425</xdr:colOff>
      <xdr:row>14</xdr:row>
      <xdr:rowOff>114300</xdr:rowOff>
    </xdr:from>
    <xdr:to>
      <xdr:col>7</xdr:col>
      <xdr:colOff>742950</xdr:colOff>
      <xdr:row>18</xdr:row>
      <xdr:rowOff>66675</xdr:rowOff>
    </xdr:to>
    <xdr:sp>
      <xdr:nvSpPr>
        <xdr:cNvPr id="5" name="Line 22"/>
        <xdr:cNvSpPr>
          <a:spLocks/>
        </xdr:cNvSpPr>
      </xdr:nvSpPr>
      <xdr:spPr>
        <a:xfrm flipH="1" flipV="1">
          <a:off x="5305425" y="2447925"/>
          <a:ext cx="8953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76200</xdr:rowOff>
    </xdr:from>
    <xdr:to>
      <xdr:col>8</xdr:col>
      <xdr:colOff>704850</xdr:colOff>
      <xdr:row>33</xdr:row>
      <xdr:rowOff>57150</xdr:rowOff>
    </xdr:to>
    <xdr:graphicFrame>
      <xdr:nvGraphicFramePr>
        <xdr:cNvPr id="1" name="Chart 1"/>
        <xdr:cNvGraphicFramePr/>
      </xdr:nvGraphicFramePr>
      <xdr:xfrm>
        <a:off x="180975" y="466725"/>
        <a:ext cx="6619875" cy="37623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41</xdr:row>
      <xdr:rowOff>76200</xdr:rowOff>
    </xdr:from>
    <xdr:to>
      <xdr:col>8</xdr:col>
      <xdr:colOff>685800</xdr:colOff>
      <xdr:row>72</xdr:row>
      <xdr:rowOff>57150</xdr:rowOff>
    </xdr:to>
    <xdr:graphicFrame>
      <xdr:nvGraphicFramePr>
        <xdr:cNvPr id="2" name="Chart 2"/>
        <xdr:cNvGraphicFramePr/>
      </xdr:nvGraphicFramePr>
      <xdr:xfrm>
        <a:off x="152400" y="5562600"/>
        <a:ext cx="6629400" cy="3762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38100</xdr:rowOff>
    </xdr:from>
    <xdr:to>
      <xdr:col>7</xdr:col>
      <xdr:colOff>666750</xdr:colOff>
      <xdr:row>56</xdr:row>
      <xdr:rowOff>47625</xdr:rowOff>
    </xdr:to>
    <xdr:graphicFrame>
      <xdr:nvGraphicFramePr>
        <xdr:cNvPr id="1" name="Chart 1"/>
        <xdr:cNvGraphicFramePr/>
      </xdr:nvGraphicFramePr>
      <xdr:xfrm>
        <a:off x="76200" y="3438525"/>
        <a:ext cx="6181725" cy="42957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76</xdr:row>
      <xdr:rowOff>104775</xdr:rowOff>
    </xdr:from>
    <xdr:to>
      <xdr:col>7</xdr:col>
      <xdr:colOff>704850</xdr:colOff>
      <xdr:row>108</xdr:row>
      <xdr:rowOff>85725</xdr:rowOff>
    </xdr:to>
    <xdr:graphicFrame>
      <xdr:nvGraphicFramePr>
        <xdr:cNvPr id="2" name="Chart 4"/>
        <xdr:cNvGraphicFramePr/>
      </xdr:nvGraphicFramePr>
      <xdr:xfrm>
        <a:off x="104775" y="11315700"/>
        <a:ext cx="6191250" cy="5286375"/>
      </xdr:xfrm>
      <a:graphic>
        <a:graphicData uri="http://schemas.openxmlformats.org/drawingml/2006/chart">
          <c:chart xmlns:c="http://schemas.openxmlformats.org/drawingml/2006/chart" r:id="rId2"/>
        </a:graphicData>
      </a:graphic>
    </xdr:graphicFrame>
    <xdr:clientData/>
  </xdr:twoCellAnchor>
  <xdr:twoCellAnchor>
    <xdr:from>
      <xdr:col>6</xdr:col>
      <xdr:colOff>685800</xdr:colOff>
      <xdr:row>9</xdr:row>
      <xdr:rowOff>76200</xdr:rowOff>
    </xdr:from>
    <xdr:to>
      <xdr:col>10</xdr:col>
      <xdr:colOff>28575</xdr:colOff>
      <xdr:row>15</xdr:row>
      <xdr:rowOff>9525</xdr:rowOff>
    </xdr:to>
    <xdr:sp>
      <xdr:nvSpPr>
        <xdr:cNvPr id="3" name="Line 6"/>
        <xdr:cNvSpPr>
          <a:spLocks/>
        </xdr:cNvSpPr>
      </xdr:nvSpPr>
      <xdr:spPr>
        <a:xfrm flipH="1" flipV="1">
          <a:off x="5486400" y="1600200"/>
          <a:ext cx="1914525"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28575</xdr:rowOff>
    </xdr:from>
    <xdr:to>
      <xdr:col>21</xdr:col>
      <xdr:colOff>0</xdr:colOff>
      <xdr:row>22</xdr:row>
      <xdr:rowOff>28575</xdr:rowOff>
    </xdr:to>
    <xdr:sp>
      <xdr:nvSpPr>
        <xdr:cNvPr id="4" name="Text Box 7"/>
        <xdr:cNvSpPr txBox="1">
          <a:spLocks noChangeArrowheads="1"/>
        </xdr:cNvSpPr>
      </xdr:nvSpPr>
      <xdr:spPr>
        <a:xfrm>
          <a:off x="6553200" y="2619375"/>
          <a:ext cx="6191250" cy="12096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Keine großartig genauen Ergebnisse (4,14 &lt;--&gt; 2,6 m/s) erwartet, da in diesem Geschwindigkeitsbereich die reale und die parabolic Drag polar weit auseinander liegen. Da beim Vergleichsflugzeug ähnliche Abweichungen auftreten werden, ist dennoch eine gute relative Bewertung möglich.
</a:t>
          </a:r>
          <a:r>
            <a:rPr lang="en-US" cap="none" sz="1000" b="0" i="0" u="none" baseline="0">
              <a:solidFill>
                <a:srgbClr val="000000"/>
              </a:solidFill>
              <a:latin typeface="Arial"/>
              <a:ea typeface="Arial"/>
              <a:cs typeface="Arial"/>
            </a:rPr>
            <a:t>Dass die maximale Steigrate in der Tabelle bei höheren werten liegt ist realistisch. Der Propellerwirkungsgrad steigt bei VE,mp noch recht steil weiter. Die Drag power hingegen steigt hier wesentlich flacher, sodass die größte Differenz bei einer höheren Geschwindigkeit liegt. (Chart wie bei Climb hyb einfügen, da sieht man's schön.)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72</xdr:row>
      <xdr:rowOff>28575</xdr:rowOff>
    </xdr:from>
    <xdr:to>
      <xdr:col>24</xdr:col>
      <xdr:colOff>209550</xdr:colOff>
      <xdr:row>101</xdr:row>
      <xdr:rowOff>95250</xdr:rowOff>
    </xdr:to>
    <xdr:graphicFrame>
      <xdr:nvGraphicFramePr>
        <xdr:cNvPr id="1" name="Chart 1"/>
        <xdr:cNvGraphicFramePr/>
      </xdr:nvGraphicFramePr>
      <xdr:xfrm>
        <a:off x="28575" y="8915400"/>
        <a:ext cx="9505950" cy="4762500"/>
      </xdr:xfrm>
      <a:graphic>
        <a:graphicData uri="http://schemas.openxmlformats.org/drawingml/2006/chart">
          <c:chart xmlns:c="http://schemas.openxmlformats.org/drawingml/2006/chart" r:id="rId1"/>
        </a:graphicData>
      </a:graphic>
    </xdr:graphicFrame>
    <xdr:clientData/>
  </xdr:twoCellAnchor>
  <xdr:twoCellAnchor>
    <xdr:from>
      <xdr:col>22</xdr:col>
      <xdr:colOff>276225</xdr:colOff>
      <xdr:row>71</xdr:row>
      <xdr:rowOff>66675</xdr:rowOff>
    </xdr:from>
    <xdr:to>
      <xdr:col>31</xdr:col>
      <xdr:colOff>161925</xdr:colOff>
      <xdr:row>76</xdr:row>
      <xdr:rowOff>114300</xdr:rowOff>
    </xdr:to>
    <xdr:sp>
      <xdr:nvSpPr>
        <xdr:cNvPr id="2" name="Text Box 2"/>
        <xdr:cNvSpPr txBox="1">
          <a:spLocks noChangeArrowheads="1"/>
        </xdr:cNvSpPr>
      </xdr:nvSpPr>
      <xdr:spPr>
        <a:xfrm>
          <a:off x="8839200" y="8839200"/>
          <a:ext cx="5591175" cy="809625"/>
        </a:xfrm>
        <a:prstGeom prst="rect">
          <a:avLst/>
        </a:prstGeom>
        <a:solidFill>
          <a:srgbClr val="FFFF00"/>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TAS is used for having a direct view on the really flyable speed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----&gt; write in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13</xdr:row>
      <xdr:rowOff>85725</xdr:rowOff>
    </xdr:from>
    <xdr:to>
      <xdr:col>15</xdr:col>
      <xdr:colOff>276225</xdr:colOff>
      <xdr:row>34</xdr:row>
      <xdr:rowOff>76200</xdr:rowOff>
    </xdr:to>
    <xdr:sp>
      <xdr:nvSpPr>
        <xdr:cNvPr id="1" name="Text Box 1"/>
        <xdr:cNvSpPr txBox="1">
          <a:spLocks noChangeArrowheads="1"/>
        </xdr:cNvSpPr>
      </xdr:nvSpPr>
      <xdr:spPr>
        <a:xfrm>
          <a:off x="7019925" y="2257425"/>
          <a:ext cx="3971925" cy="4105275"/>
        </a:xfrm>
        <a:prstGeom prst="rect">
          <a:avLst/>
        </a:prstGeom>
        <a:solidFill>
          <a:srgbClr val="FF99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don't forget: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solarzellen + max power tracker --&gt; insbesondere auf standzeit in der sonne und einsparmöglichkeiten hierdurch (BZW NICHT AUFTRETENDE EINSPARUNGEN) eingehen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wiring 1,5/11,7 * PSe - included in 1,12*mBat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avgas prices shell ireland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(technology prices)  maintenance costs --&gt; factor per flight hour (hfc data and limerick flying club data einbauen)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ganz am ende noch ein blatt, auf dem man an allem drehen kann!!!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ENTWURFSSTUDIE!!!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Indizes durchgucken insb. masses und speeds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8</xdr:col>
      <xdr:colOff>123825</xdr:colOff>
      <xdr:row>1</xdr:row>
      <xdr:rowOff>114300</xdr:rowOff>
    </xdr:from>
    <xdr:to>
      <xdr:col>14</xdr:col>
      <xdr:colOff>695325</xdr:colOff>
      <xdr:row>9</xdr:row>
      <xdr:rowOff>38100</xdr:rowOff>
    </xdr:to>
    <xdr:sp>
      <xdr:nvSpPr>
        <xdr:cNvPr id="2" name="Text Box 2"/>
        <xdr:cNvSpPr txBox="1">
          <a:spLocks noChangeArrowheads="1"/>
        </xdr:cNvSpPr>
      </xdr:nvSpPr>
      <xdr:spPr>
        <a:xfrm>
          <a:off x="6353175" y="342900"/>
          <a:ext cx="4295775" cy="12192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first estimation: no aerodynamik changes! No one can garantee this, but I have to assume, because assumptions on these changes would be very (and far too) complicated and  not sophisticated at 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schwere batterie weil motorsegler und mehrere starts pro flug?</a:t>
          </a:r>
        </a:p>
      </xdr:txBody>
    </xdr:sp>
    <xdr:clientData/>
  </xdr:twoCellAnchor>
  <xdr:twoCellAnchor>
    <xdr:from>
      <xdr:col>6</xdr:col>
      <xdr:colOff>533400</xdr:colOff>
      <xdr:row>6</xdr:row>
      <xdr:rowOff>123825</xdr:rowOff>
    </xdr:from>
    <xdr:to>
      <xdr:col>9</xdr:col>
      <xdr:colOff>171450</xdr:colOff>
      <xdr:row>14</xdr:row>
      <xdr:rowOff>47625</xdr:rowOff>
    </xdr:to>
    <xdr:sp>
      <xdr:nvSpPr>
        <xdr:cNvPr id="3" name="Line 3"/>
        <xdr:cNvSpPr>
          <a:spLocks/>
        </xdr:cNvSpPr>
      </xdr:nvSpPr>
      <xdr:spPr>
        <a:xfrm flipH="1">
          <a:off x="5391150" y="1162050"/>
          <a:ext cx="1343025" cy="1219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2</xdr:row>
      <xdr:rowOff>104775</xdr:rowOff>
    </xdr:from>
    <xdr:to>
      <xdr:col>8</xdr:col>
      <xdr:colOff>161925</xdr:colOff>
      <xdr:row>5</xdr:row>
      <xdr:rowOff>47625</xdr:rowOff>
    </xdr:to>
    <xdr:sp>
      <xdr:nvSpPr>
        <xdr:cNvPr id="4" name="Line 4"/>
        <xdr:cNvSpPr>
          <a:spLocks/>
        </xdr:cNvSpPr>
      </xdr:nvSpPr>
      <xdr:spPr>
        <a:xfrm flipH="1">
          <a:off x="5562600" y="495300"/>
          <a:ext cx="8286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0.90775</cdr:x>
      <cdr:y>0.474</cdr:y>
    </cdr:from>
    <cdr:to>
      <cdr:x>0.99275</cdr:x>
      <cdr:y>0.49225</cdr:y>
    </cdr:to>
    <cdr:sp>
      <cdr:nvSpPr>
        <cdr:cNvPr id="1" name="Text Box 1"/>
        <cdr:cNvSpPr txBox="1">
          <a:spLocks noChangeArrowheads="1"/>
        </cdr:cNvSpPr>
      </cdr:nvSpPr>
      <cdr:spPr>
        <a:xfrm>
          <a:off x="9286875" y="4905375"/>
          <a:ext cx="866775" cy="190500"/>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y=1,859x^0,5926</a:t>
          </a:r>
        </a:p>
      </cdr:txBody>
    </cdr:sp>
  </cdr:relSizeAnchor>
  <cdr:relSizeAnchor xmlns:cdr="http://schemas.openxmlformats.org/drawingml/2006/chartDrawing">
    <cdr:from>
      <cdr:x>0.90775</cdr:x>
      <cdr:y>0.0815</cdr:y>
    </cdr:from>
    <cdr:to>
      <cdr:x>0.992</cdr:x>
      <cdr:y>0.10075</cdr:y>
    </cdr:to>
    <cdr:sp>
      <cdr:nvSpPr>
        <cdr:cNvPr id="2" name="Text Box 2"/>
        <cdr:cNvSpPr txBox="1">
          <a:spLocks noChangeArrowheads="1"/>
        </cdr:cNvSpPr>
      </cdr:nvSpPr>
      <cdr:spPr>
        <a:xfrm>
          <a:off x="9286875" y="838200"/>
          <a:ext cx="866775" cy="200025"/>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y=3,111x^0,5926</a:t>
          </a:r>
        </a:p>
      </cdr:txBody>
    </cdr:sp>
  </cdr:relSizeAnchor>
  <cdr:relSizeAnchor xmlns:cdr="http://schemas.openxmlformats.org/drawingml/2006/chartDrawing">
    <cdr:from>
      <cdr:x>0.90775</cdr:x>
      <cdr:y>0.2615</cdr:y>
    </cdr:from>
    <cdr:to>
      <cdr:x>0.992</cdr:x>
      <cdr:y>0.2795</cdr:y>
    </cdr:to>
    <cdr:sp>
      <cdr:nvSpPr>
        <cdr:cNvPr id="3" name="Text Box 3"/>
        <cdr:cNvSpPr txBox="1">
          <a:spLocks noChangeArrowheads="1"/>
        </cdr:cNvSpPr>
      </cdr:nvSpPr>
      <cdr:spPr>
        <a:xfrm>
          <a:off x="9286875" y="2705100"/>
          <a:ext cx="866775" cy="190500"/>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y=2,449x^0,5926</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85725</xdr:rowOff>
    </xdr:from>
    <xdr:to>
      <xdr:col>14</xdr:col>
      <xdr:colOff>361950</xdr:colOff>
      <xdr:row>75</xdr:row>
      <xdr:rowOff>76200</xdr:rowOff>
    </xdr:to>
    <xdr:graphicFrame>
      <xdr:nvGraphicFramePr>
        <xdr:cNvPr id="1" name="Chart 1"/>
        <xdr:cNvGraphicFramePr/>
      </xdr:nvGraphicFramePr>
      <xdr:xfrm>
        <a:off x="66675" y="2095500"/>
        <a:ext cx="10239375" cy="10353675"/>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24</xdr:row>
      <xdr:rowOff>28575</xdr:rowOff>
    </xdr:from>
    <xdr:to>
      <xdr:col>11</xdr:col>
      <xdr:colOff>76200</xdr:colOff>
      <xdr:row>28</xdr:row>
      <xdr:rowOff>9525</xdr:rowOff>
    </xdr:to>
    <xdr:sp>
      <xdr:nvSpPr>
        <xdr:cNvPr id="2" name="Text Box 5"/>
        <xdr:cNvSpPr txBox="1">
          <a:spLocks noChangeArrowheads="1"/>
        </xdr:cNvSpPr>
      </xdr:nvSpPr>
      <xdr:spPr>
        <a:xfrm>
          <a:off x="942975" y="4143375"/>
          <a:ext cx="7772400" cy="6286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advantage of using an equation for estimating the e-motor mass rather than simply picking a value out of the provided chart is the gained flexibility in the end. There you may easyly change the required shaft power, and the related e-motor mass is automatically adopted. ----&gt; report!</a:t>
          </a:r>
        </a:p>
      </xdr:txBody>
    </xdr:sp>
    <xdr:clientData/>
  </xdr:twoCellAnchor>
  <xdr:twoCellAnchor>
    <xdr:from>
      <xdr:col>9</xdr:col>
      <xdr:colOff>714375</xdr:colOff>
      <xdr:row>10</xdr:row>
      <xdr:rowOff>19050</xdr:rowOff>
    </xdr:from>
    <xdr:to>
      <xdr:col>18</xdr:col>
      <xdr:colOff>657225</xdr:colOff>
      <xdr:row>13</xdr:row>
      <xdr:rowOff>133350</xdr:rowOff>
    </xdr:to>
    <xdr:sp>
      <xdr:nvSpPr>
        <xdr:cNvPr id="3" name="Text Box 9"/>
        <xdr:cNvSpPr txBox="1">
          <a:spLocks noChangeArrowheads="1"/>
        </xdr:cNvSpPr>
      </xdr:nvSpPr>
      <xdr:spPr>
        <a:xfrm>
          <a:off x="7791450" y="1866900"/>
          <a:ext cx="5133975" cy="6000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improvements ---&gt; write in report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xdr:row>
      <xdr:rowOff>85725</xdr:rowOff>
    </xdr:from>
    <xdr:to>
      <xdr:col>8</xdr:col>
      <xdr:colOff>695325</xdr:colOff>
      <xdr:row>49</xdr:row>
      <xdr:rowOff>95250</xdr:rowOff>
    </xdr:to>
    <xdr:graphicFrame>
      <xdr:nvGraphicFramePr>
        <xdr:cNvPr id="1" name="Chart 1"/>
        <xdr:cNvGraphicFramePr/>
      </xdr:nvGraphicFramePr>
      <xdr:xfrm>
        <a:off x="76200" y="1447800"/>
        <a:ext cx="6715125" cy="664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ibrary.profscholz.de/"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oleObject" Target="../embeddings/oleObject_0_5.bin" /><Relationship Id="rId8" Type="http://schemas.openxmlformats.org/officeDocument/2006/relationships/oleObject" Target="../embeddings/oleObject_0_6.bin" /><Relationship Id="rId9" Type="http://schemas.openxmlformats.org/officeDocument/2006/relationships/oleObject" Target="../embeddings/oleObject_0_7.bin" /><Relationship Id="rId10" Type="http://schemas.openxmlformats.org/officeDocument/2006/relationships/oleObject" Target="../embeddings/oleObject_0_8.bin" /><Relationship Id="rId11" Type="http://schemas.openxmlformats.org/officeDocument/2006/relationships/oleObject" Target="../embeddings/oleObject_0_9.bin" /><Relationship Id="rId12" Type="http://schemas.openxmlformats.org/officeDocument/2006/relationships/oleObject" Target="../embeddings/oleObject_0_10.bin" /><Relationship Id="rId13" Type="http://schemas.openxmlformats.org/officeDocument/2006/relationships/vmlDrawing" Target="../drawings/vmlDrawing1.vm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vmlDrawing" Target="../drawings/vmlDrawing7.vml" /><Relationship Id="rId8" Type="http://schemas.openxmlformats.org/officeDocument/2006/relationships/drawing" Target="../drawings/drawing11.xml" /><Relationship Id="rId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9.vml" /><Relationship Id="rId4" Type="http://schemas.openxmlformats.org/officeDocument/2006/relationships/drawing" Target="../drawings/drawing13.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oleObject" Target="../embeddings/oleObject_1_9.bin" /><Relationship Id="rId11" Type="http://schemas.openxmlformats.org/officeDocument/2006/relationships/oleObject" Target="../embeddings/oleObject_1_10.bin" /><Relationship Id="rId12" Type="http://schemas.openxmlformats.org/officeDocument/2006/relationships/oleObject" Target="../embeddings/oleObject_1_11.bin" /><Relationship Id="rId13" Type="http://schemas.openxmlformats.org/officeDocument/2006/relationships/oleObject" Target="../embeddings/oleObject_1_12.bin" /><Relationship Id="rId14" Type="http://schemas.openxmlformats.org/officeDocument/2006/relationships/oleObject" Target="../embeddings/oleObject_1_13.bin" /><Relationship Id="rId15" Type="http://schemas.openxmlformats.org/officeDocument/2006/relationships/oleObject" Target="../embeddings/oleObject_1_14.bin" /><Relationship Id="rId16" Type="http://schemas.openxmlformats.org/officeDocument/2006/relationships/oleObject" Target="../embeddings/oleObject_1_15.bin" /><Relationship Id="rId17" Type="http://schemas.openxmlformats.org/officeDocument/2006/relationships/oleObject" Target="../embeddings/oleObject_1_16.bin" /><Relationship Id="rId18" Type="http://schemas.openxmlformats.org/officeDocument/2006/relationships/vmlDrawing" Target="../drawings/vmlDrawing2.vml" /><Relationship Id="rId19" Type="http://schemas.openxmlformats.org/officeDocument/2006/relationships/drawing" Target="../drawings/drawing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4.v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59"/>
  <sheetViews>
    <sheetView tabSelected="1" zoomScalePageLayoutView="0" workbookViewId="0" topLeftCell="A1">
      <selection activeCell="A2" sqref="A2"/>
    </sheetView>
  </sheetViews>
  <sheetFormatPr defaultColWidth="11.421875" defaultRowHeight="12.75"/>
  <cols>
    <col min="1" max="1" width="15.7109375" style="3" bestFit="1" customWidth="1"/>
    <col min="2" max="2" width="14.28125" style="3" bestFit="1" customWidth="1"/>
    <col min="3" max="3" width="11.421875" style="3" customWidth="1"/>
    <col min="4" max="4" width="11.8515625" style="3" customWidth="1"/>
    <col min="5" max="16384" width="11.421875" style="3" customWidth="1"/>
  </cols>
  <sheetData>
    <row r="1" spans="1:14" s="1" customFormat="1" ht="30">
      <c r="A1" s="358" t="s">
        <v>375</v>
      </c>
      <c r="B1" s="358"/>
      <c r="C1" s="358"/>
      <c r="D1" s="358"/>
      <c r="E1" s="358"/>
      <c r="F1" s="358"/>
      <c r="G1" s="358"/>
      <c r="H1" s="358"/>
      <c r="I1" s="358"/>
      <c r="J1" s="358"/>
      <c r="K1" s="358"/>
      <c r="L1" s="358"/>
      <c r="M1" s="358"/>
      <c r="N1" s="358"/>
    </row>
    <row r="3" spans="1:2" ht="12.75">
      <c r="A3" s="521" t="s">
        <v>372</v>
      </c>
      <c r="B3" s="3" t="s">
        <v>373</v>
      </c>
    </row>
    <row r="4" spans="1:2" ht="12.75">
      <c r="A4" s="521" t="s">
        <v>374</v>
      </c>
      <c r="B4" s="521" t="s">
        <v>375</v>
      </c>
    </row>
    <row r="5" spans="1:2" ht="12.75">
      <c r="A5" s="521" t="s">
        <v>378</v>
      </c>
      <c r="B5" s="523" t="s">
        <v>379</v>
      </c>
    </row>
    <row r="6" spans="1:2" ht="12.75">
      <c r="A6" s="521" t="s">
        <v>376</v>
      </c>
      <c r="B6" s="522" t="s">
        <v>377</v>
      </c>
    </row>
    <row r="7" spans="1:2" ht="12.75">
      <c r="A7" s="521" t="s">
        <v>380</v>
      </c>
      <c r="B7" s="521" t="s">
        <v>381</v>
      </c>
    </row>
    <row r="8" spans="1:2" ht="12.75">
      <c r="A8" s="521" t="s">
        <v>382</v>
      </c>
      <c r="B8" s="521" t="s">
        <v>383</v>
      </c>
    </row>
    <row r="10" spans="1:5" ht="18">
      <c r="A10" s="359" t="s">
        <v>135</v>
      </c>
      <c r="B10" s="359"/>
      <c r="C10" s="359"/>
      <c r="D10" s="359"/>
      <c r="E10" s="2"/>
    </row>
    <row r="12" spans="1:7" ht="12.75">
      <c r="A12" s="361" t="s">
        <v>298</v>
      </c>
      <c r="B12" s="361"/>
      <c r="C12" s="361"/>
      <c r="D12" s="361"/>
      <c r="E12" s="4" t="s">
        <v>0</v>
      </c>
      <c r="F12" s="4" t="s">
        <v>1</v>
      </c>
      <c r="G12" s="4" t="s">
        <v>2</v>
      </c>
    </row>
    <row r="13" spans="1:7" ht="12.75">
      <c r="A13" s="360" t="s">
        <v>3</v>
      </c>
      <c r="B13" s="360"/>
      <c r="C13" s="360"/>
      <c r="D13" s="360"/>
      <c r="E13" s="5" t="s">
        <v>4</v>
      </c>
      <c r="F13" s="5" t="s">
        <v>233</v>
      </c>
      <c r="G13" s="6">
        <v>18.7</v>
      </c>
    </row>
    <row r="14" spans="1:7" ht="12.75">
      <c r="A14" s="360" t="s">
        <v>5</v>
      </c>
      <c r="B14" s="360"/>
      <c r="C14" s="360"/>
      <c r="D14" s="360"/>
      <c r="E14" s="5" t="s">
        <v>6</v>
      </c>
      <c r="F14" s="5" t="s">
        <v>11</v>
      </c>
      <c r="G14" s="6">
        <v>17.47</v>
      </c>
    </row>
    <row r="15" spans="1:13" ht="12.75">
      <c r="A15" s="360" t="s">
        <v>287</v>
      </c>
      <c r="B15" s="360"/>
      <c r="C15" s="360"/>
      <c r="D15" s="360"/>
      <c r="E15" s="5" t="s">
        <v>7</v>
      </c>
      <c r="F15" s="5" t="s">
        <v>234</v>
      </c>
      <c r="G15" s="6">
        <v>4.5</v>
      </c>
      <c r="H15" s="362" t="s">
        <v>8</v>
      </c>
      <c r="I15" s="363"/>
      <c r="J15" s="363"/>
      <c r="K15" s="363"/>
      <c r="L15" s="363"/>
      <c r="M15" s="363"/>
    </row>
    <row r="16" spans="1:13" ht="12.75">
      <c r="A16" s="367" t="s">
        <v>288</v>
      </c>
      <c r="B16" s="367"/>
      <c r="C16" s="367"/>
      <c r="D16" s="367"/>
      <c r="E16" s="5" t="s">
        <v>9</v>
      </c>
      <c r="F16" s="5" t="s">
        <v>234</v>
      </c>
      <c r="G16" s="6">
        <v>13.5</v>
      </c>
      <c r="H16" s="362"/>
      <c r="I16" s="363"/>
      <c r="J16" s="363"/>
      <c r="K16" s="363"/>
      <c r="L16" s="363"/>
      <c r="M16" s="363"/>
    </row>
    <row r="17" spans="1:7" ht="12.75">
      <c r="A17" s="360" t="s">
        <v>289</v>
      </c>
      <c r="B17" s="360"/>
      <c r="C17" s="360"/>
      <c r="D17" s="360"/>
      <c r="E17" s="5" t="s">
        <v>10</v>
      </c>
      <c r="F17" s="5" t="s">
        <v>11</v>
      </c>
      <c r="G17" s="6">
        <v>1.7</v>
      </c>
    </row>
    <row r="18" spans="1:7" ht="12.75">
      <c r="A18" s="360" t="s">
        <v>290</v>
      </c>
      <c r="B18" s="360"/>
      <c r="C18" s="360"/>
      <c r="D18" s="360"/>
      <c r="E18" s="5" t="s">
        <v>11</v>
      </c>
      <c r="F18" s="5" t="s">
        <v>128</v>
      </c>
      <c r="G18" s="6">
        <v>850</v>
      </c>
    </row>
    <row r="19" spans="1:7" ht="12.75">
      <c r="A19" s="360" t="s">
        <v>146</v>
      </c>
      <c r="B19" s="360"/>
      <c r="C19" s="360"/>
      <c r="D19" s="360"/>
      <c r="E19" s="5" t="s">
        <v>12</v>
      </c>
      <c r="F19" s="5"/>
      <c r="G19" s="6">
        <v>0.0118</v>
      </c>
    </row>
    <row r="20" spans="1:7" ht="12.75">
      <c r="A20" s="367" t="s">
        <v>13</v>
      </c>
      <c r="B20" s="367"/>
      <c r="C20" s="367"/>
      <c r="D20" s="367"/>
      <c r="E20" s="5" t="s">
        <v>14</v>
      </c>
      <c r="F20" s="5"/>
      <c r="G20" s="6">
        <v>0</v>
      </c>
    </row>
    <row r="21" spans="1:7" ht="15">
      <c r="A21" s="367" t="s">
        <v>15</v>
      </c>
      <c r="B21" s="367"/>
      <c r="C21" s="367"/>
      <c r="D21" s="367"/>
      <c r="E21" s="8" t="s">
        <v>16</v>
      </c>
      <c r="F21" s="5" t="s">
        <v>256</v>
      </c>
      <c r="G21" s="6">
        <v>0</v>
      </c>
    </row>
    <row r="22" spans="1:7" ht="12.75">
      <c r="A22" s="367" t="s">
        <v>17</v>
      </c>
      <c r="B22" s="367"/>
      <c r="C22" s="367"/>
      <c r="D22" s="367"/>
      <c r="E22" s="5" t="s">
        <v>18</v>
      </c>
      <c r="F22" s="5"/>
      <c r="G22" s="6">
        <v>0.18</v>
      </c>
    </row>
    <row r="23" spans="1:13" ht="12.75">
      <c r="A23" s="360" t="s">
        <v>19</v>
      </c>
      <c r="B23" s="360"/>
      <c r="C23" s="360"/>
      <c r="D23" s="360"/>
      <c r="E23" s="5" t="s">
        <v>20</v>
      </c>
      <c r="F23" s="5" t="s">
        <v>124</v>
      </c>
      <c r="G23" s="9">
        <v>58</v>
      </c>
      <c r="L23" s="7"/>
      <c r="M23" s="7"/>
    </row>
    <row r="24" spans="1:8" ht="12.75">
      <c r="A24" s="366" t="s">
        <v>21</v>
      </c>
      <c r="B24" s="366"/>
      <c r="C24" s="366"/>
      <c r="D24" s="366"/>
      <c r="E24" s="10" t="s">
        <v>22</v>
      </c>
      <c r="F24" s="10"/>
      <c r="G24" s="11">
        <f>$G$14^2/$G$13</f>
        <v>16.320903743315505</v>
      </c>
      <c r="H24" s="12"/>
    </row>
    <row r="25" spans="1:11" ht="12.75">
      <c r="A25" s="366" t="s">
        <v>23</v>
      </c>
      <c r="B25" s="366"/>
      <c r="C25" s="366"/>
      <c r="D25" s="366"/>
      <c r="E25" s="10" t="s">
        <v>24</v>
      </c>
      <c r="F25" s="10"/>
      <c r="G25" s="11">
        <f>$G$15/$G$16</f>
        <v>0.3333333333333333</v>
      </c>
      <c r="H25" s="12"/>
      <c r="I25" s="13"/>
      <c r="K25" s="14"/>
    </row>
    <row r="26" spans="1:7" ht="12.75">
      <c r="A26" s="370" t="s">
        <v>113</v>
      </c>
      <c r="B26" s="371"/>
      <c r="C26" s="371"/>
      <c r="D26" s="372"/>
      <c r="E26" s="368" t="s">
        <v>25</v>
      </c>
      <c r="F26" s="368"/>
      <c r="G26" s="364">
        <f>50/340</f>
        <v>0.14705882352941177</v>
      </c>
    </row>
    <row r="27" spans="1:11" ht="12.75">
      <c r="A27" s="373"/>
      <c r="B27" s="374"/>
      <c r="C27" s="374"/>
      <c r="D27" s="375"/>
      <c r="E27" s="369"/>
      <c r="F27" s="369"/>
      <c r="G27" s="365"/>
      <c r="H27" s="16"/>
      <c r="I27" s="16"/>
      <c r="J27" s="16"/>
      <c r="K27" s="16"/>
    </row>
    <row r="28" spans="1:10" ht="12.75">
      <c r="A28" s="360" t="s">
        <v>114</v>
      </c>
      <c r="B28" s="360"/>
      <c r="C28" s="360"/>
      <c r="D28" s="360"/>
      <c r="E28" s="5" t="s">
        <v>26</v>
      </c>
      <c r="F28" s="5"/>
      <c r="G28" s="17">
        <f>1/((1+0.12*$G$26^6)*(1+(0.142+$G$29*$G$24*(10*$G$22)^0.33)/(COS($G$21*PI()/180))+0.1*(3*$G$20+1)/(4+$G$24)^0.8))</f>
        <v>0.7932543822407278</v>
      </c>
      <c r="H28" s="13"/>
      <c r="I28" s="13"/>
      <c r="J28" s="13"/>
    </row>
    <row r="29" spans="5:7" ht="12.75">
      <c r="E29" s="18" t="s">
        <v>27</v>
      </c>
      <c r="F29" s="19"/>
      <c r="G29" s="18">
        <f>0.005*(1+1.5*($G$25-0.6)^2)</f>
        <v>0.005533333333333334</v>
      </c>
    </row>
    <row r="30" spans="5:7" ht="12.75">
      <c r="E30" s="18"/>
      <c r="F30" s="19"/>
      <c r="G30" s="18"/>
    </row>
    <row r="31" spans="5:7" ht="12.75">
      <c r="E31" s="18"/>
      <c r="F31" s="19"/>
      <c r="G31" s="18"/>
    </row>
    <row r="33" spans="1:7" ht="18">
      <c r="A33" s="359" t="s">
        <v>136</v>
      </c>
      <c r="B33" s="359"/>
      <c r="C33" s="359"/>
      <c r="D33" s="359"/>
      <c r="E33" s="2"/>
      <c r="F33" s="2"/>
      <c r="G33" s="2"/>
    </row>
    <row r="34" spans="1:6" ht="12.75">
      <c r="A34" s="376" t="s">
        <v>28</v>
      </c>
      <c r="B34" s="376"/>
      <c r="C34" s="376"/>
      <c r="D34" s="376"/>
      <c r="E34" s="376"/>
      <c r="F34" s="376"/>
    </row>
    <row r="35" spans="1:8" ht="12.75">
      <c r="A35" s="20"/>
      <c r="B35" s="20"/>
      <c r="C35" s="20"/>
      <c r="D35" s="20"/>
      <c r="E35" s="20"/>
      <c r="F35" s="20"/>
      <c r="H35" s="14"/>
    </row>
    <row r="36" spans="1:8" ht="12.75">
      <c r="A36" s="361" t="s">
        <v>298</v>
      </c>
      <c r="B36" s="361"/>
      <c r="C36" s="361"/>
      <c r="D36" s="361"/>
      <c r="E36" s="4" t="s">
        <v>0</v>
      </c>
      <c r="F36" s="4" t="s">
        <v>1</v>
      </c>
      <c r="G36" s="4" t="s">
        <v>2</v>
      </c>
      <c r="H36" s="21" t="s">
        <v>29</v>
      </c>
    </row>
    <row r="37" spans="1:13" ht="12.75">
      <c r="A37" s="360" t="s">
        <v>30</v>
      </c>
      <c r="B37" s="360"/>
      <c r="C37" s="360"/>
      <c r="D37" s="360"/>
      <c r="E37" s="5" t="s">
        <v>291</v>
      </c>
      <c r="F37" s="5" t="s">
        <v>99</v>
      </c>
      <c r="G37" s="22">
        <f>(2*$G$18*9.81/(1.225*$G$13)*(1/(PI()*$G$24*$G$28*$G$19))^0.5)^0.5</f>
        <v>32.41701156204101</v>
      </c>
      <c r="H37" s="226">
        <f>$G$37*3.6/1.852</f>
        <v>63.013629386256824</v>
      </c>
      <c r="I37" s="13"/>
      <c r="J37" s="14"/>
      <c r="K37" s="14"/>
      <c r="L37" s="14"/>
      <c r="M37" s="14"/>
    </row>
    <row r="38" spans="1:14" ht="12.75">
      <c r="A38" s="377" t="s">
        <v>32</v>
      </c>
      <c r="B38" s="378"/>
      <c r="C38" s="378"/>
      <c r="D38" s="379"/>
      <c r="E38" s="5" t="s">
        <v>33</v>
      </c>
      <c r="F38" s="5" t="s">
        <v>225</v>
      </c>
      <c r="G38" s="186">
        <f>2*$G$18*9.81*($G$19/(PI()*$G$24*$G$28))^0.5</f>
        <v>284.05710354965737</v>
      </c>
      <c r="H38" s="26"/>
      <c r="I38" s="13"/>
      <c r="J38" s="13"/>
      <c r="K38" s="13"/>
      <c r="L38" s="14"/>
      <c r="M38" s="14"/>
      <c r="N38" s="14"/>
    </row>
    <row r="39" spans="1:14" ht="12.75">
      <c r="A39" s="360" t="s">
        <v>34</v>
      </c>
      <c r="B39" s="360"/>
      <c r="C39" s="360"/>
      <c r="D39" s="360"/>
      <c r="E39" s="5" t="s">
        <v>35</v>
      </c>
      <c r="F39" s="5"/>
      <c r="G39" s="27">
        <f>0.5*(PI()*$G$24*$G$28/$G$19)^0.5</f>
        <v>29.355013114615904</v>
      </c>
      <c r="H39" s="26"/>
      <c r="I39" s="13"/>
      <c r="J39" s="13"/>
      <c r="K39" s="13"/>
      <c r="L39" s="13"/>
      <c r="M39" s="13"/>
      <c r="N39" s="14"/>
    </row>
    <row r="40" spans="1:14" ht="12.75">
      <c r="A40" s="14"/>
      <c r="B40" s="14"/>
      <c r="C40" s="14"/>
      <c r="D40" s="14"/>
      <c r="E40" s="28"/>
      <c r="F40" s="28"/>
      <c r="G40" s="29"/>
      <c r="H40" s="30"/>
      <c r="I40" s="14"/>
      <c r="J40" s="14"/>
      <c r="K40" s="14"/>
      <c r="L40" s="14"/>
      <c r="M40" s="14"/>
      <c r="N40" s="14"/>
    </row>
    <row r="41" spans="8:14" ht="12.75">
      <c r="H41" s="30"/>
      <c r="I41" s="14"/>
      <c r="J41" s="14"/>
      <c r="K41" s="14"/>
      <c r="L41" s="14"/>
      <c r="M41" s="14"/>
      <c r="N41" s="14"/>
    </row>
    <row r="42" spans="1:14" ht="12.75">
      <c r="A42" s="14"/>
      <c r="B42" s="14"/>
      <c r="C42" s="14"/>
      <c r="D42" s="14"/>
      <c r="E42" s="28"/>
      <c r="F42" s="28"/>
      <c r="G42" s="29"/>
      <c r="H42" s="30"/>
      <c r="I42" s="14"/>
      <c r="J42" s="14"/>
      <c r="K42" s="14"/>
      <c r="L42" s="14"/>
      <c r="M42" s="14"/>
      <c r="N42" s="14"/>
    </row>
    <row r="43" spans="1:14" ht="12.75">
      <c r="A43" s="14"/>
      <c r="B43" s="14"/>
      <c r="C43" s="14"/>
      <c r="D43" s="14"/>
      <c r="E43" s="28"/>
      <c r="F43" s="28"/>
      <c r="G43" s="29"/>
      <c r="H43" s="30"/>
      <c r="I43" s="14"/>
      <c r="J43" s="14"/>
      <c r="K43" s="14"/>
      <c r="L43" s="14"/>
      <c r="M43" s="14"/>
      <c r="N43" s="14"/>
    </row>
    <row r="44" spans="7:8" ht="12.75">
      <c r="G44" s="31"/>
      <c r="H44" s="14"/>
    </row>
    <row r="45" spans="1:8" ht="12.75">
      <c r="A45" s="361" t="s">
        <v>298</v>
      </c>
      <c r="B45" s="361"/>
      <c r="C45" s="361"/>
      <c r="D45" s="361"/>
      <c r="E45" s="4" t="s">
        <v>0</v>
      </c>
      <c r="F45" s="4" t="s">
        <v>1</v>
      </c>
      <c r="G45" s="4" t="s">
        <v>2</v>
      </c>
      <c r="H45" s="21" t="s">
        <v>29</v>
      </c>
    </row>
    <row r="46" spans="1:9" ht="12.75">
      <c r="A46" s="360" t="s">
        <v>36</v>
      </c>
      <c r="B46" s="360"/>
      <c r="C46" s="360"/>
      <c r="D46" s="360"/>
      <c r="E46" s="5" t="s">
        <v>292</v>
      </c>
      <c r="F46" s="5" t="s">
        <v>99</v>
      </c>
      <c r="G46" s="27">
        <f>1/3^0.25*$G$37</f>
        <v>24.631602207019032</v>
      </c>
      <c r="H46" s="226">
        <f>$G$46*3.6/1.852</f>
        <v>47.880004290101795</v>
      </c>
      <c r="I46" s="13"/>
    </row>
    <row r="47" spans="1:11" ht="12.75">
      <c r="A47" s="360" t="s">
        <v>37</v>
      </c>
      <c r="B47" s="360"/>
      <c r="C47" s="360"/>
      <c r="D47" s="360"/>
      <c r="E47" s="5" t="s">
        <v>293</v>
      </c>
      <c r="F47" s="5" t="s">
        <v>235</v>
      </c>
      <c r="G47" s="186">
        <f>0.5*1.225*$G$46^3*$G$13*($G$19+(2*$G$18*9.81/(1.225*$G$46^2*$G$13))^2/(PI()*$G$24*$G$28))</f>
        <v>8079.18745586213</v>
      </c>
      <c r="H47" s="23"/>
      <c r="I47" s="13"/>
      <c r="J47" s="13"/>
      <c r="K47" s="13"/>
    </row>
    <row r="48" spans="1:11" ht="12.75">
      <c r="A48" s="14"/>
      <c r="B48" s="14"/>
      <c r="C48" s="14"/>
      <c r="D48" s="14"/>
      <c r="E48" s="28"/>
      <c r="F48" s="28"/>
      <c r="G48" s="29"/>
      <c r="H48" s="14"/>
      <c r="I48" s="14"/>
      <c r="J48" s="14"/>
      <c r="K48" s="14"/>
    </row>
    <row r="49" spans="1:11" ht="12.75">
      <c r="A49" s="32"/>
      <c r="B49" s="32"/>
      <c r="C49" s="32"/>
      <c r="D49" s="32"/>
      <c r="E49" s="33"/>
      <c r="F49" s="33"/>
      <c r="G49" s="29"/>
      <c r="H49" s="34" t="s">
        <v>39</v>
      </c>
      <c r="I49" s="35" t="s">
        <v>40</v>
      </c>
      <c r="J49" s="14"/>
      <c r="K49" s="14"/>
    </row>
    <row r="50" spans="1:11" ht="12.75">
      <c r="A50" s="360" t="s">
        <v>41</v>
      </c>
      <c r="B50" s="360"/>
      <c r="C50" s="360"/>
      <c r="D50" s="360"/>
      <c r="E50" s="5" t="s">
        <v>294</v>
      </c>
      <c r="F50" s="5"/>
      <c r="G50" s="27">
        <f>$H$50/I50</f>
        <v>25.422187085682733</v>
      </c>
      <c r="H50" s="36">
        <f>2*$G$18*9.81/(1.225*$G$46^2*$G$13)</f>
        <v>1.1999272304442248</v>
      </c>
      <c r="I50" s="37">
        <f>$G$19+$H$50^2/(PI()*$G$24*$G$28)</f>
        <v>0.04719999999999999</v>
      </c>
      <c r="K50" s="14"/>
    </row>
    <row r="51" spans="9:12" ht="12.75">
      <c r="I51" s="14"/>
      <c r="J51" s="14"/>
      <c r="K51" s="14"/>
      <c r="L51" s="14"/>
    </row>
    <row r="52" spans="9:12" ht="12.75">
      <c r="I52" s="14"/>
      <c r="J52" s="14"/>
      <c r="K52" s="14"/>
      <c r="L52" s="14"/>
    </row>
    <row r="53" spans="9:12" ht="12.75">
      <c r="I53" s="14"/>
      <c r="J53" s="14"/>
      <c r="K53" s="14"/>
      <c r="L53" s="14"/>
    </row>
    <row r="57" spans="10:15" ht="12.75">
      <c r="J57" s="4" t="s">
        <v>39</v>
      </c>
      <c r="K57" s="4" t="s">
        <v>40</v>
      </c>
      <c r="L57" s="4" t="s">
        <v>42</v>
      </c>
      <c r="M57" s="12"/>
      <c r="N57" s="13"/>
      <c r="O57" s="13"/>
    </row>
    <row r="58" spans="10:12" ht="9" customHeight="1">
      <c r="J58" s="38">
        <v>-0.5</v>
      </c>
      <c r="K58" s="39">
        <f aca="true" t="shared" si="0" ref="K58:K98">$G$19+J58^2/(PI()*$G$24*$G$28)</f>
        <v>0.017946578783742825</v>
      </c>
      <c r="L58" s="40">
        <f aca="true" t="shared" si="1" ref="L58:L98">J58/K58</f>
        <v>-27.860463324237177</v>
      </c>
    </row>
    <row r="59" spans="10:15" ht="9" customHeight="1">
      <c r="J59" s="38">
        <v>-0.45</v>
      </c>
      <c r="K59" s="39">
        <f t="shared" si="0"/>
        <v>0.016778728814831688</v>
      </c>
      <c r="L59" s="40">
        <f t="shared" si="1"/>
        <v>-26.81967179791469</v>
      </c>
      <c r="N59" s="14"/>
      <c r="O59" s="14"/>
    </row>
    <row r="60" spans="10:15" ht="9" customHeight="1">
      <c r="J60" s="38">
        <v>-0.4</v>
      </c>
      <c r="K60" s="39">
        <f t="shared" si="0"/>
        <v>0.01573381042159541</v>
      </c>
      <c r="L60" s="40">
        <f t="shared" si="1"/>
        <v>-25.42295790287271</v>
      </c>
      <c r="M60" s="41"/>
      <c r="N60" s="380" t="s">
        <v>43</v>
      </c>
      <c r="O60" s="381"/>
    </row>
    <row r="61" spans="10:15" ht="9" customHeight="1">
      <c r="J61" s="38">
        <v>-0.35</v>
      </c>
      <c r="K61" s="39">
        <f t="shared" si="0"/>
        <v>0.014811823604033984</v>
      </c>
      <c r="L61" s="40">
        <f t="shared" si="1"/>
        <v>-23.62977100974102</v>
      </c>
      <c r="M61" s="41"/>
      <c r="N61" s="42">
        <v>0</v>
      </c>
      <c r="O61" s="43">
        <f>0</f>
        <v>0</v>
      </c>
    </row>
    <row r="62" spans="10:15" ht="9" customHeight="1">
      <c r="J62" s="38">
        <v>-0.3</v>
      </c>
      <c r="K62" s="39">
        <f t="shared" si="0"/>
        <v>0.014012768362147416</v>
      </c>
      <c r="L62" s="40">
        <f t="shared" si="1"/>
        <v>-21.40904582497686</v>
      </c>
      <c r="M62" s="44"/>
      <c r="N62" s="45">
        <v>0.5</v>
      </c>
      <c r="O62" s="46">
        <f>0.5*MAX(L58:L98)</f>
        <v>14.676717362250429</v>
      </c>
    </row>
    <row r="63" spans="10:13" ht="9" customHeight="1">
      <c r="J63" s="38">
        <v>-0.25</v>
      </c>
      <c r="K63" s="39">
        <f t="shared" si="0"/>
        <v>0.013336644695935707</v>
      </c>
      <c r="L63" s="40">
        <f t="shared" si="1"/>
        <v>-18.745344552531012</v>
      </c>
      <c r="M63" s="31"/>
    </row>
    <row r="64" spans="10:12" ht="9" customHeight="1">
      <c r="J64" s="38">
        <v>-0.2</v>
      </c>
      <c r="K64" s="39">
        <f t="shared" si="0"/>
        <v>0.012783452605398852</v>
      </c>
      <c r="L64" s="40">
        <f t="shared" si="1"/>
        <v>-15.645225603256335</v>
      </c>
    </row>
    <row r="65" spans="10:12" ht="9" customHeight="1">
      <c r="J65" s="38">
        <v>-0.15</v>
      </c>
      <c r="K65" s="39">
        <f t="shared" si="0"/>
        <v>0.012353192090536855</v>
      </c>
      <c r="L65" s="40">
        <f t="shared" si="1"/>
        <v>-12.142610501046711</v>
      </c>
    </row>
    <row r="66" spans="10:12" ht="9" customHeight="1">
      <c r="J66" s="38">
        <v>-0.1</v>
      </c>
      <c r="K66" s="39">
        <f t="shared" si="0"/>
        <v>0.012045863151349713</v>
      </c>
      <c r="L66" s="40">
        <f t="shared" si="1"/>
        <v>-8.301605185411328</v>
      </c>
    </row>
    <row r="67" spans="10:12" ht="9" customHeight="1">
      <c r="J67" s="38">
        <v>-0.05</v>
      </c>
      <c r="K67" s="39">
        <f t="shared" si="0"/>
        <v>0.011861465787837429</v>
      </c>
      <c r="L67" s="40">
        <f t="shared" si="1"/>
        <v>-4.215330625601877</v>
      </c>
    </row>
    <row r="68" spans="10:12" ht="9" customHeight="1">
      <c r="J68" s="38">
        <v>0</v>
      </c>
      <c r="K68" s="39">
        <f t="shared" si="0"/>
        <v>0.0118</v>
      </c>
      <c r="L68" s="40">
        <f t="shared" si="1"/>
        <v>0</v>
      </c>
    </row>
    <row r="69" spans="10:12" ht="9" customHeight="1">
      <c r="J69" s="38">
        <v>0.05</v>
      </c>
      <c r="K69" s="39">
        <f t="shared" si="0"/>
        <v>0.011861465787837429</v>
      </c>
      <c r="L69" s="40">
        <f t="shared" si="1"/>
        <v>4.215330625601877</v>
      </c>
    </row>
    <row r="70" spans="10:12" ht="9" customHeight="1">
      <c r="J70" s="38">
        <v>0.1</v>
      </c>
      <c r="K70" s="39">
        <f t="shared" si="0"/>
        <v>0.012045863151349713</v>
      </c>
      <c r="L70" s="40">
        <f t="shared" si="1"/>
        <v>8.301605185411328</v>
      </c>
    </row>
    <row r="71" spans="10:12" ht="9" customHeight="1">
      <c r="J71" s="38">
        <v>0.15</v>
      </c>
      <c r="K71" s="39">
        <f t="shared" si="0"/>
        <v>0.012353192090536855</v>
      </c>
      <c r="L71" s="40">
        <f t="shared" si="1"/>
        <v>12.142610501046711</v>
      </c>
    </row>
    <row r="72" spans="10:12" ht="9" customHeight="1">
      <c r="J72" s="38">
        <v>0.2</v>
      </c>
      <c r="K72" s="39">
        <f t="shared" si="0"/>
        <v>0.012783452605398852</v>
      </c>
      <c r="L72" s="40">
        <f t="shared" si="1"/>
        <v>15.645225603256335</v>
      </c>
    </row>
    <row r="73" spans="10:12" ht="9" customHeight="1">
      <c r="J73" s="38">
        <v>0.25</v>
      </c>
      <c r="K73" s="39">
        <f t="shared" si="0"/>
        <v>0.013336644695935707</v>
      </c>
      <c r="L73" s="40">
        <f t="shared" si="1"/>
        <v>18.745344552531012</v>
      </c>
    </row>
    <row r="74" spans="10:12" ht="9" customHeight="1">
      <c r="J74" s="38">
        <v>0.3</v>
      </c>
      <c r="K74" s="39">
        <f t="shared" si="0"/>
        <v>0.014012768362147416</v>
      </c>
      <c r="L74" s="40">
        <f t="shared" si="1"/>
        <v>21.40904582497686</v>
      </c>
    </row>
    <row r="75" spans="10:12" ht="9" customHeight="1">
      <c r="J75" s="38">
        <v>0.35</v>
      </c>
      <c r="K75" s="39">
        <f t="shared" si="0"/>
        <v>0.014811823604033984</v>
      </c>
      <c r="L75" s="40">
        <f t="shared" si="1"/>
        <v>23.62977100974102</v>
      </c>
    </row>
    <row r="76" spans="10:12" ht="9" customHeight="1">
      <c r="J76" s="38">
        <v>0.4</v>
      </c>
      <c r="K76" s="39">
        <f t="shared" si="0"/>
        <v>0.01573381042159541</v>
      </c>
      <c r="L76" s="40">
        <f t="shared" si="1"/>
        <v>25.42295790287271</v>
      </c>
    </row>
    <row r="77" spans="10:12" ht="9" customHeight="1">
      <c r="J77" s="38">
        <v>0.45</v>
      </c>
      <c r="K77" s="39">
        <f t="shared" si="0"/>
        <v>0.016778728814831688</v>
      </c>
      <c r="L77" s="40">
        <f t="shared" si="1"/>
        <v>26.81967179791469</v>
      </c>
    </row>
    <row r="78" spans="10:12" ht="9" customHeight="1">
      <c r="J78" s="38">
        <v>0.5</v>
      </c>
      <c r="K78" s="39">
        <f t="shared" si="0"/>
        <v>0.017946578783742825</v>
      </c>
      <c r="L78" s="40">
        <f t="shared" si="1"/>
        <v>27.860463324237177</v>
      </c>
    </row>
    <row r="79" spans="10:12" ht="9" customHeight="1">
      <c r="J79" s="38">
        <v>0.55</v>
      </c>
      <c r="K79" s="39">
        <f t="shared" si="0"/>
        <v>0.019237360328328817</v>
      </c>
      <c r="L79" s="40">
        <f t="shared" si="1"/>
        <v>28.590201078163176</v>
      </c>
    </row>
    <row r="80" spans="10:12" ht="9" customHeight="1">
      <c r="J80" s="38">
        <v>0.6</v>
      </c>
      <c r="K80" s="39">
        <f t="shared" si="0"/>
        <v>0.020651073448589668</v>
      </c>
      <c r="L80" s="40">
        <f t="shared" si="1"/>
        <v>29.054179749720277</v>
      </c>
    </row>
    <row r="81" spans="10:12" ht="9" customHeight="1">
      <c r="J81" s="38">
        <v>0.65</v>
      </c>
      <c r="K81" s="39">
        <f t="shared" si="0"/>
        <v>0.022187718144525373</v>
      </c>
      <c r="L81" s="40">
        <f t="shared" si="1"/>
        <v>29.29548661859047</v>
      </c>
    </row>
    <row r="82" spans="10:12" ht="9" customHeight="1">
      <c r="J82" s="38">
        <v>0.7</v>
      </c>
      <c r="K82" s="39">
        <f t="shared" si="0"/>
        <v>0.023847294416135936</v>
      </c>
      <c r="L82" s="40">
        <f t="shared" si="1"/>
        <v>29.353434724500858</v>
      </c>
    </row>
    <row r="83" spans="10:12" ht="9" customHeight="1">
      <c r="J83" s="38">
        <v>0.75</v>
      </c>
      <c r="K83" s="39">
        <f t="shared" si="0"/>
        <v>0.025629802263421354</v>
      </c>
      <c r="L83" s="40">
        <f t="shared" si="1"/>
        <v>29.262808674509124</v>
      </c>
    </row>
    <row r="84" spans="10:12" ht="9" customHeight="1">
      <c r="J84" s="38">
        <v>0.8</v>
      </c>
      <c r="K84" s="39">
        <f t="shared" si="0"/>
        <v>0.027535241686381634</v>
      </c>
      <c r="L84" s="40">
        <f t="shared" si="1"/>
        <v>29.053676343638692</v>
      </c>
    </row>
    <row r="85" spans="10:12" ht="9" customHeight="1">
      <c r="J85" s="38">
        <v>0.85</v>
      </c>
      <c r="K85" s="39">
        <f t="shared" si="0"/>
        <v>0.02956361268501676</v>
      </c>
      <c r="L85" s="40">
        <f t="shared" si="1"/>
        <v>28.751560543572925</v>
      </c>
    </row>
    <row r="86" spans="10:12" ht="9" customHeight="1">
      <c r="J86" s="38">
        <v>0.9</v>
      </c>
      <c r="K86" s="39">
        <f t="shared" si="0"/>
        <v>0.03171491525932676</v>
      </c>
      <c r="L86" s="40">
        <f t="shared" si="1"/>
        <v>28.377815064012413</v>
      </c>
    </row>
    <row r="87" spans="10:12" ht="9" customHeight="1">
      <c r="J87" s="38">
        <v>0.95</v>
      </c>
      <c r="K87" s="39">
        <f t="shared" si="0"/>
        <v>0.033989149409311595</v>
      </c>
      <c r="L87" s="40">
        <f t="shared" si="1"/>
        <v>27.95009632514487</v>
      </c>
    </row>
    <row r="88" spans="10:12" ht="9" customHeight="1">
      <c r="J88" s="38">
        <v>1</v>
      </c>
      <c r="K88" s="39">
        <f t="shared" si="0"/>
        <v>0.0363863151349713</v>
      </c>
      <c r="L88" s="40">
        <f t="shared" si="1"/>
        <v>27.482859868898586</v>
      </c>
    </row>
    <row r="89" spans="10:12" ht="9" customHeight="1">
      <c r="J89" s="38">
        <v>1.05</v>
      </c>
      <c r="K89" s="39">
        <f t="shared" si="0"/>
        <v>0.03890641243630586</v>
      </c>
      <c r="L89" s="40">
        <f t="shared" si="1"/>
        <v>26.98783913111925</v>
      </c>
    </row>
    <row r="90" spans="10:12" ht="9" customHeight="1">
      <c r="J90" s="38">
        <v>1.1</v>
      </c>
      <c r="K90" s="39">
        <f t="shared" si="0"/>
        <v>0.041549441313315276</v>
      </c>
      <c r="L90" s="40">
        <f t="shared" si="1"/>
        <v>26.474483536496674</v>
      </c>
    </row>
    <row r="91" spans="10:12" ht="9" customHeight="1">
      <c r="J91" s="38">
        <v>1.15</v>
      </c>
      <c r="K91" s="39">
        <f t="shared" si="0"/>
        <v>0.04431540176599954</v>
      </c>
      <c r="L91" s="40">
        <f t="shared" si="1"/>
        <v>25.950345797887444</v>
      </c>
    </row>
    <row r="92" spans="10:12" ht="9" customHeight="1">
      <c r="J92" s="38">
        <v>1.2</v>
      </c>
      <c r="K92" s="39">
        <f t="shared" si="0"/>
        <v>0.04720429379435867</v>
      </c>
      <c r="L92" s="40">
        <f t="shared" si="1"/>
        <v>25.421416221746558</v>
      </c>
    </row>
    <row r="93" spans="10:12" ht="9" customHeight="1">
      <c r="J93" s="38">
        <v>1.25</v>
      </c>
      <c r="K93" s="39">
        <f t="shared" si="0"/>
        <v>0.05021611739839266</v>
      </c>
      <c r="L93" s="40">
        <f t="shared" si="1"/>
        <v>24.892406357963683</v>
      </c>
    </row>
    <row r="94" spans="10:12" ht="9" customHeight="1">
      <c r="J94" s="38">
        <v>1.3</v>
      </c>
      <c r="K94" s="39">
        <f t="shared" si="0"/>
        <v>0.0533508725781015</v>
      </c>
      <c r="L94" s="40">
        <f t="shared" si="1"/>
        <v>24.366986652315795</v>
      </c>
    </row>
    <row r="95" spans="10:12" ht="9" customHeight="1">
      <c r="J95" s="38">
        <v>1.35</v>
      </c>
      <c r="K95" s="39">
        <f t="shared" si="0"/>
        <v>0.0566085593334852</v>
      </c>
      <c r="L95" s="40">
        <f t="shared" si="1"/>
        <v>23.847983695310994</v>
      </c>
    </row>
    <row r="96" spans="10:12" ht="9" customHeight="1">
      <c r="J96" s="38">
        <v>1.4</v>
      </c>
      <c r="K96" s="39">
        <f t="shared" si="0"/>
        <v>0.059989177664543744</v>
      </c>
      <c r="L96" s="40">
        <f t="shared" si="1"/>
        <v>23.337542778611247</v>
      </c>
    </row>
    <row r="97" spans="10:12" ht="9" customHeight="1">
      <c r="J97" s="38">
        <v>1.45</v>
      </c>
      <c r="K97" s="39">
        <f t="shared" si="0"/>
        <v>0.06349272757127716</v>
      </c>
      <c r="L97" s="40">
        <f t="shared" si="1"/>
        <v>22.837261139430886</v>
      </c>
    </row>
    <row r="98" spans="10:12" ht="9" customHeight="1">
      <c r="J98" s="38">
        <v>1.5</v>
      </c>
      <c r="K98" s="39">
        <f t="shared" si="0"/>
        <v>0.06711920905368543</v>
      </c>
      <c r="L98" s="40">
        <f t="shared" si="1"/>
        <v>22.348296726801742</v>
      </c>
    </row>
    <row r="107" ht="12.75">
      <c r="J107" s="47"/>
    </row>
    <row r="108" ht="12.75">
      <c r="J108" s="47"/>
    </row>
    <row r="109" ht="12.75">
      <c r="J109" s="47"/>
    </row>
    <row r="110" ht="12.75">
      <c r="J110" s="47"/>
    </row>
    <row r="111" ht="12.75">
      <c r="J111" s="47"/>
    </row>
    <row r="112" spans="10:14" ht="25.5">
      <c r="J112" s="4" t="s">
        <v>44</v>
      </c>
      <c r="K112" s="48" t="s">
        <v>45</v>
      </c>
      <c r="L112" s="4" t="s">
        <v>46</v>
      </c>
      <c r="M112" s="4" t="s">
        <v>47</v>
      </c>
      <c r="N112" s="49" t="s">
        <v>48</v>
      </c>
    </row>
    <row r="113" spans="10:14" ht="9" customHeight="1">
      <c r="J113" s="50">
        <v>20</v>
      </c>
      <c r="K113" s="51">
        <f aca="true" t="shared" si="2" ref="K113:K140">$G$19*1.225/(2*$G$18*9.81/$G$13)*J113^3+2*$G$18*9.81/(PI()*$G$24*$G$28*$G$13*1.225*J113)</f>
        <v>1.0246278028215545</v>
      </c>
      <c r="L113" s="52">
        <f aca="true" t="shared" si="3" ref="L113:L140">J113*3.6/1.852</f>
        <v>38.87688984881209</v>
      </c>
      <c r="M113" s="52">
        <f aca="true" t="shared" si="4" ref="M113:M140">K113*60/0.3048</f>
        <v>201.69838638219576</v>
      </c>
      <c r="N113" s="52">
        <f aca="true" t="shared" si="5" ref="N113:N140">J113/K113</f>
        <v>19.51928294833039</v>
      </c>
    </row>
    <row r="114" spans="10:14" ht="9" customHeight="1">
      <c r="J114" s="50">
        <v>21</v>
      </c>
      <c r="K114" s="51">
        <f t="shared" si="2"/>
        <v>1.0024495234143438</v>
      </c>
      <c r="L114" s="52">
        <f t="shared" si="3"/>
        <v>40.8207343412527</v>
      </c>
      <c r="M114" s="52">
        <f t="shared" si="4"/>
        <v>197.33258334928027</v>
      </c>
      <c r="N114" s="52">
        <f t="shared" si="5"/>
        <v>20.948685703868644</v>
      </c>
    </row>
    <row r="115" spans="10:14" ht="9" customHeight="1">
      <c r="J115" s="50">
        <v>22</v>
      </c>
      <c r="K115" s="51">
        <f t="shared" si="2"/>
        <v>0.9861877962820359</v>
      </c>
      <c r="L115" s="52">
        <f t="shared" si="3"/>
        <v>42.76457883369331</v>
      </c>
      <c r="M115" s="52">
        <f t="shared" si="4"/>
        <v>194.1314559610307</v>
      </c>
      <c r="N115" s="52">
        <f t="shared" si="5"/>
        <v>22.30812435820115</v>
      </c>
    </row>
    <row r="116" spans="10:14" ht="9" customHeight="1">
      <c r="J116" s="50">
        <v>23</v>
      </c>
      <c r="K116" s="51">
        <f t="shared" si="2"/>
        <v>0.9754345305083055</v>
      </c>
      <c r="L116" s="52">
        <f t="shared" si="3"/>
        <v>44.708423326133904</v>
      </c>
      <c r="M116" s="52">
        <f t="shared" si="4"/>
        <v>192.01467135990265</v>
      </c>
      <c r="N116" s="52">
        <f t="shared" si="5"/>
        <v>23.5792349774767</v>
      </c>
    </row>
    <row r="117" spans="10:14" ht="9" customHeight="1">
      <c r="J117" s="50">
        <v>24</v>
      </c>
      <c r="K117" s="51">
        <f t="shared" si="2"/>
        <v>0.9698658587903032</v>
      </c>
      <c r="L117" s="52">
        <f t="shared" si="3"/>
        <v>46.652267818574515</v>
      </c>
      <c r="M117" s="52">
        <f t="shared" si="4"/>
        <v>190.91847613982344</v>
      </c>
      <c r="N117" s="52">
        <f t="shared" si="5"/>
        <v>24.74569012042014</v>
      </c>
    </row>
    <row r="118" spans="10:14" ht="9" customHeight="1">
      <c r="J118" s="50">
        <v>25</v>
      </c>
      <c r="K118" s="51">
        <f t="shared" si="2"/>
        <v>0.9692252927159593</v>
      </c>
      <c r="L118" s="52">
        <f t="shared" si="3"/>
        <v>48.59611231101512</v>
      </c>
      <c r="M118" s="52">
        <f t="shared" si="4"/>
        <v>190.79238045589747</v>
      </c>
      <c r="N118" s="52">
        <f t="shared" si="5"/>
        <v>25.793796538207438</v>
      </c>
    </row>
    <row r="119" spans="10:14" ht="9" customHeight="1">
      <c r="J119" s="50">
        <v>26</v>
      </c>
      <c r="K119" s="51">
        <f t="shared" si="2"/>
        <v>0.9733107652849878</v>
      </c>
      <c r="L119" s="52">
        <f t="shared" si="3"/>
        <v>50.53995680345572</v>
      </c>
      <c r="M119" s="52">
        <f t="shared" si="4"/>
        <v>191.59660733956454</v>
      </c>
      <c r="N119" s="52">
        <f t="shared" si="5"/>
        <v>26.71294814291624</v>
      </c>
    </row>
    <row r="120" spans="10:14" ht="9" customHeight="1">
      <c r="J120" s="50">
        <v>27</v>
      </c>
      <c r="K120" s="51">
        <f t="shared" si="2"/>
        <v>0.9819645528696681</v>
      </c>
      <c r="L120" s="52">
        <f t="shared" si="3"/>
        <v>52.48380129589633</v>
      </c>
      <c r="M120" s="52">
        <f t="shared" si="4"/>
        <v>193.3001088326118</v>
      </c>
      <c r="N120" s="52">
        <f t="shared" si="5"/>
        <v>27.495900866376378</v>
      </c>
    </row>
    <row r="121" spans="10:14" ht="9" customHeight="1">
      <c r="J121" s="50">
        <v>28</v>
      </c>
      <c r="K121" s="51">
        <f t="shared" si="2"/>
        <v>0.9950653567554573</v>
      </c>
      <c r="L121" s="52">
        <f t="shared" si="3"/>
        <v>54.42764578833693</v>
      </c>
      <c r="M121" s="52">
        <f t="shared" si="4"/>
        <v>195.8790072353262</v>
      </c>
      <c r="N121" s="52">
        <f t="shared" si="5"/>
        <v>28.138855211779976</v>
      </c>
    </row>
    <row r="122" spans="10:14" ht="9" customHeight="1">
      <c r="J122" s="50">
        <v>29</v>
      </c>
      <c r="K122" s="51">
        <f t="shared" si="2"/>
        <v>1.0125220229835459</v>
      </c>
      <c r="L122" s="52">
        <f t="shared" si="3"/>
        <v>56.371490280777536</v>
      </c>
      <c r="M122" s="52">
        <f t="shared" si="4"/>
        <v>199.3153588550287</v>
      </c>
      <c r="N122" s="52">
        <f t="shared" si="5"/>
        <v>28.64135232787057</v>
      </c>
    </row>
    <row r="123" spans="10:14" ht="9" customHeight="1">
      <c r="J123" s="50">
        <v>30</v>
      </c>
      <c r="K123" s="51">
        <f t="shared" si="2"/>
        <v>1.0342685182249032</v>
      </c>
      <c r="L123" s="52">
        <f t="shared" si="3"/>
        <v>58.31533477321814</v>
      </c>
      <c r="M123" s="52">
        <f t="shared" si="4"/>
        <v>203.5961650049022</v>
      </c>
      <c r="N123" s="52">
        <f t="shared" si="5"/>
        <v>29.00600711649666</v>
      </c>
    </row>
    <row r="124" spans="10:14" ht="9" customHeight="1">
      <c r="J124" s="50">
        <v>31</v>
      </c>
      <c r="K124" s="51">
        <f t="shared" si="2"/>
        <v>1.0602598780657952</v>
      </c>
      <c r="L124" s="52">
        <f t="shared" si="3"/>
        <v>60.25917926565875</v>
      </c>
      <c r="M124" s="52">
        <f t="shared" si="4"/>
        <v>208.71257442240065</v>
      </c>
      <c r="N124" s="52">
        <f t="shared" si="5"/>
        <v>29.238114769138015</v>
      </c>
    </row>
    <row r="125" spans="10:14" ht="9" customHeight="1">
      <c r="J125" s="50">
        <v>32</v>
      </c>
      <c r="K125" s="51">
        <f t="shared" si="2"/>
        <v>1.090468914989771</v>
      </c>
      <c r="L125" s="52">
        <f t="shared" si="3"/>
        <v>62.20302375809935</v>
      </c>
      <c r="M125" s="52">
        <f t="shared" si="4"/>
        <v>214.6592352342069</v>
      </c>
      <c r="N125" s="52">
        <f t="shared" si="5"/>
        <v>29.345173952345235</v>
      </c>
    </row>
    <row r="126" spans="10:14" ht="9" customHeight="1">
      <c r="J126" s="50">
        <v>33</v>
      </c>
      <c r="K126" s="51">
        <f t="shared" si="2"/>
        <v>1.1248835249083773</v>
      </c>
      <c r="L126" s="52">
        <f t="shared" si="3"/>
        <v>64.14686825053995</v>
      </c>
      <c r="M126" s="52">
        <f t="shared" si="4"/>
        <v>221.43376474574356</v>
      </c>
      <c r="N126" s="52">
        <f t="shared" si="5"/>
        <v>29.336370627961575</v>
      </c>
    </row>
    <row r="127" spans="10:14" ht="9" customHeight="1">
      <c r="J127" s="50">
        <v>34</v>
      </c>
      <c r="K127" s="51">
        <f t="shared" si="2"/>
        <v>1.1635044690099807</v>
      </c>
      <c r="L127" s="52">
        <f t="shared" si="3"/>
        <v>66.09071274298056</v>
      </c>
      <c r="M127" s="52">
        <f t="shared" si="4"/>
        <v>229.0363127972403</v>
      </c>
      <c r="N127" s="52">
        <f t="shared" si="5"/>
        <v>29.222062231467323</v>
      </c>
    </row>
    <row r="128" spans="10:14" ht="9" customHeight="1">
      <c r="J128" s="50">
        <v>35</v>
      </c>
      <c r="K128" s="51">
        <f t="shared" si="2"/>
        <v>1.2063435358630814</v>
      </c>
      <c r="L128" s="52">
        <f t="shared" si="3"/>
        <v>68.03455723542116</v>
      </c>
      <c r="M128" s="52">
        <f t="shared" si="4"/>
        <v>237.46919997304752</v>
      </c>
      <c r="N128" s="52">
        <f t="shared" si="5"/>
        <v>29.01329427272901</v>
      </c>
    </row>
    <row r="129" spans="10:14" ht="9" customHeight="1">
      <c r="J129" s="50">
        <v>36</v>
      </c>
      <c r="K129" s="51">
        <f t="shared" si="2"/>
        <v>1.2534220098357371</v>
      </c>
      <c r="L129" s="52">
        <f t="shared" si="3"/>
        <v>69.97840172786177</v>
      </c>
      <c r="M129" s="52">
        <f t="shared" si="4"/>
        <v>246.73661610939706</v>
      </c>
      <c r="N129" s="52">
        <f t="shared" si="5"/>
        <v>28.721372145617465</v>
      </c>
    </row>
    <row r="130" spans="10:14" ht="9" customHeight="1">
      <c r="J130" s="50">
        <v>37</v>
      </c>
      <c r="K130" s="51">
        <f t="shared" si="2"/>
        <v>1.3047693878794087</v>
      </c>
      <c r="L130" s="52">
        <f t="shared" si="3"/>
        <v>71.92224622030238</v>
      </c>
      <c r="M130" s="52">
        <f t="shared" si="4"/>
        <v>256.844367692797</v>
      </c>
      <c r="N130" s="52">
        <f t="shared" si="5"/>
        <v>28.357501596611392</v>
      </c>
    </row>
    <row r="131" spans="10:14" ht="9" customHeight="1">
      <c r="J131" s="50">
        <v>38</v>
      </c>
      <c r="K131" s="51">
        <f t="shared" si="2"/>
        <v>1.3604222989258785</v>
      </c>
      <c r="L131" s="52">
        <f t="shared" si="3"/>
        <v>73.86609071274299</v>
      </c>
      <c r="M131" s="52">
        <f t="shared" si="4"/>
        <v>267.79966514288947</v>
      </c>
      <c r="N131" s="52">
        <f t="shared" si="5"/>
        <v>27.93250303968327</v>
      </c>
    </row>
    <row r="132" spans="10:14" ht="9" customHeight="1">
      <c r="J132" s="50">
        <v>39</v>
      </c>
      <c r="K132" s="51">
        <f t="shared" si="2"/>
        <v>1.4204235895308006</v>
      </c>
      <c r="L132" s="52">
        <f t="shared" si="3"/>
        <v>75.80993520518358</v>
      </c>
      <c r="M132" s="52">
        <f t="shared" si="4"/>
        <v>279.61094282102374</v>
      </c>
      <c r="N132" s="52">
        <f t="shared" si="5"/>
        <v>27.456598360833066</v>
      </c>
    </row>
    <row r="133" spans="10:14" ht="9" customHeight="1">
      <c r="J133" s="50">
        <v>40</v>
      </c>
      <c r="K133" s="51">
        <f t="shared" si="2"/>
        <v>1.484821546670716</v>
      </c>
      <c r="L133" s="52">
        <f t="shared" si="3"/>
        <v>77.75377969762418</v>
      </c>
      <c r="M133" s="52">
        <f t="shared" si="4"/>
        <v>292.2877060375425</v>
      </c>
      <c r="N133" s="52">
        <f t="shared" si="5"/>
        <v>26.939264243362082</v>
      </c>
    </row>
    <row r="134" spans="10:14" ht="9" customHeight="1">
      <c r="J134" s="50">
        <v>41</v>
      </c>
      <c r="K134" s="51">
        <f t="shared" si="2"/>
        <v>1.5536692342770915</v>
      </c>
      <c r="L134" s="52">
        <f t="shared" si="3"/>
        <v>79.69762419006479</v>
      </c>
      <c r="M134" s="52">
        <f t="shared" si="4"/>
        <v>305.8404004482463</v>
      </c>
      <c r="N134" s="52">
        <f t="shared" si="5"/>
        <v>26.389143258717443</v>
      </c>
    </row>
    <row r="135" spans="10:14" ht="9" customHeight="1">
      <c r="J135" s="50">
        <v>42</v>
      </c>
      <c r="K135" s="51">
        <f t="shared" si="2"/>
        <v>1.6270239245512086</v>
      </c>
      <c r="L135" s="52">
        <f t="shared" si="3"/>
        <v>81.6414686825054</v>
      </c>
      <c r="M135" s="52">
        <f t="shared" si="4"/>
        <v>320.28030010850557</v>
      </c>
      <c r="N135" s="52">
        <f t="shared" si="5"/>
        <v>25.81400271147525</v>
      </c>
    </row>
    <row r="136" spans="10:14" ht="9" customHeight="1">
      <c r="J136" s="50">
        <v>43</v>
      </c>
      <c r="K136" s="51">
        <f t="shared" si="2"/>
        <v>1.7049466086304648</v>
      </c>
      <c r="L136" s="52">
        <f t="shared" si="3"/>
        <v>83.58531317494601</v>
      </c>
      <c r="M136" s="52">
        <f t="shared" si="4"/>
        <v>335.6194111477293</v>
      </c>
      <c r="N136" s="52">
        <f t="shared" si="5"/>
        <v>25.220731125733423</v>
      </c>
    </row>
    <row r="137" spans="10:14" ht="9" customHeight="1">
      <c r="J137" s="50">
        <v>44</v>
      </c>
      <c r="K137" s="51">
        <f t="shared" si="2"/>
        <v>1.7875015739819964</v>
      </c>
      <c r="L137" s="52">
        <f t="shared" si="3"/>
        <v>85.52915766738661</v>
      </c>
      <c r="M137" s="52">
        <f t="shared" si="4"/>
        <v>351.87038857913313</v>
      </c>
      <c r="N137" s="52">
        <f t="shared" si="5"/>
        <v>24.61536294034232</v>
      </c>
    </row>
    <row r="138" spans="10:14" ht="9" customHeight="1">
      <c r="J138" s="50">
        <v>45</v>
      </c>
      <c r="K138" s="51">
        <f t="shared" si="2"/>
        <v>1.874756038143819</v>
      </c>
      <c r="L138" s="52">
        <f t="shared" si="3"/>
        <v>87.4730021598272</v>
      </c>
      <c r="M138" s="52">
        <f t="shared" si="4"/>
        <v>369.04646420153915</v>
      </c>
      <c r="N138" s="52">
        <f t="shared" si="5"/>
        <v>24.00312311811735</v>
      </c>
    </row>
    <row r="139" spans="10:14" ht="9" customHeight="1">
      <c r="J139" s="50">
        <v>46</v>
      </c>
      <c r="K139" s="51">
        <f t="shared" si="2"/>
        <v>1.9667798302388622</v>
      </c>
      <c r="L139" s="52">
        <f t="shared" si="3"/>
        <v>89.41684665226781</v>
      </c>
      <c r="M139" s="52">
        <f t="shared" si="4"/>
        <v>387.1613839052878</v>
      </c>
      <c r="N139" s="52">
        <f t="shared" si="5"/>
        <v>23.38848471636674</v>
      </c>
    </row>
    <row r="140" spans="10:14" ht="9" customHeight="1">
      <c r="J140" s="50">
        <v>47</v>
      </c>
      <c r="K140" s="51">
        <f t="shared" si="2"/>
        <v>2.063645113146787</v>
      </c>
      <c r="L140" s="52">
        <f t="shared" si="3"/>
        <v>91.36069114470843</v>
      </c>
      <c r="M140" s="52">
        <f t="shared" si="4"/>
        <v>406.2293529816509</v>
      </c>
      <c r="N140" s="52">
        <f t="shared" si="5"/>
        <v>22.775233832880886</v>
      </c>
    </row>
    <row r="141" spans="10:14" ht="12.75">
      <c r="J141" s="382" t="s">
        <v>49</v>
      </c>
      <c r="K141" s="383"/>
      <c r="L141" s="383"/>
      <c r="M141" s="383"/>
      <c r="N141" s="384"/>
    </row>
    <row r="142" spans="10:14" ht="9" customHeight="1">
      <c r="J142" s="52">
        <f aca="true" t="shared" si="6" ref="J142:J152">L142*1.852/3.6</f>
        <v>21.092222222222222</v>
      </c>
      <c r="K142" s="53">
        <f>M142/60*0.3048</f>
        <v>1.2700000000000002</v>
      </c>
      <c r="L142" s="52">
        <v>41</v>
      </c>
      <c r="M142" s="50">
        <v>250</v>
      </c>
      <c r="N142" s="52">
        <f>J142/K142</f>
        <v>16.608048993875762</v>
      </c>
    </row>
    <row r="143" spans="10:14" ht="9" customHeight="1">
      <c r="J143" s="52">
        <f t="shared" si="6"/>
        <v>24.05027777777778</v>
      </c>
      <c r="K143" s="53">
        <f>M143/60*0.3048</f>
        <v>1.016</v>
      </c>
      <c r="L143" s="52">
        <v>46.75</v>
      </c>
      <c r="M143" s="50">
        <v>200</v>
      </c>
      <c r="N143" s="52">
        <f>J143/K143</f>
        <v>23.67153324584427</v>
      </c>
    </row>
    <row r="144" spans="10:14" ht="9" customHeight="1">
      <c r="J144" s="52">
        <f t="shared" si="6"/>
        <v>25.722222222222225</v>
      </c>
      <c r="K144" s="53">
        <f>M144/60*0.3048</f>
        <v>0.97028</v>
      </c>
      <c r="L144" s="52">
        <v>50</v>
      </c>
      <c r="M144" s="50">
        <v>191</v>
      </c>
      <c r="N144" s="52">
        <f>J144/K144</f>
        <v>26.51010246755805</v>
      </c>
    </row>
    <row r="145" spans="10:14" ht="9" customHeight="1">
      <c r="J145" s="52">
        <f t="shared" si="6"/>
        <v>26.75111111111111</v>
      </c>
      <c r="K145" s="54">
        <f>M145/60*0.3048</f>
        <v>0.96012</v>
      </c>
      <c r="L145" s="52">
        <v>52</v>
      </c>
      <c r="M145" s="321">
        <v>189</v>
      </c>
      <c r="N145" s="52">
        <f>J145/K145</f>
        <v>27.86225795849593</v>
      </c>
    </row>
    <row r="146" spans="10:14" ht="9" customHeight="1">
      <c r="J146" s="52">
        <f t="shared" si="6"/>
        <v>29.83777777777778</v>
      </c>
      <c r="K146" s="54">
        <f>J146/N146</f>
        <v>0.9625089605734768</v>
      </c>
      <c r="L146" s="52">
        <v>58</v>
      </c>
      <c r="M146" s="50">
        <f>K146/0.3048*60</f>
        <v>189.47026782942456</v>
      </c>
      <c r="N146" s="55">
        <v>31</v>
      </c>
    </row>
    <row r="147" spans="10:14" ht="9" customHeight="1">
      <c r="J147" s="52">
        <f t="shared" si="6"/>
        <v>30.712333333333333</v>
      </c>
      <c r="K147" s="53">
        <f aca="true" t="shared" si="7" ref="K147:K152">M147/60*0.3048</f>
        <v>1.016</v>
      </c>
      <c r="L147" s="52">
        <v>59.7</v>
      </c>
      <c r="M147" s="50">
        <v>200</v>
      </c>
      <c r="N147" s="52">
        <f aca="true" t="shared" si="8" ref="N147:N152">J147/K147</f>
        <v>30.228674540682416</v>
      </c>
    </row>
    <row r="148" spans="10:14" ht="9" customHeight="1">
      <c r="J148" s="52">
        <f t="shared" si="6"/>
        <v>35.239444444444445</v>
      </c>
      <c r="K148" s="53">
        <f t="shared" si="7"/>
        <v>1.524</v>
      </c>
      <c r="L148" s="52">
        <v>68.5</v>
      </c>
      <c r="M148" s="50">
        <v>300</v>
      </c>
      <c r="N148" s="52">
        <f t="shared" si="8"/>
        <v>23.12299504228638</v>
      </c>
    </row>
    <row r="149" spans="10:14" ht="9" customHeight="1">
      <c r="J149" s="52">
        <f t="shared" si="6"/>
        <v>37.94027777777778</v>
      </c>
      <c r="K149" s="53">
        <f t="shared" si="7"/>
        <v>2.032</v>
      </c>
      <c r="L149" s="52">
        <v>73.75</v>
      </c>
      <c r="M149" s="50">
        <v>400</v>
      </c>
      <c r="N149" s="52">
        <f t="shared" si="8"/>
        <v>18.671396544181977</v>
      </c>
    </row>
    <row r="150" spans="5:14" ht="9" customHeight="1">
      <c r="E150" s="380" t="s">
        <v>322</v>
      </c>
      <c r="F150" s="381"/>
      <c r="G150" s="380" t="s">
        <v>321</v>
      </c>
      <c r="H150" s="381"/>
      <c r="I150" s="14"/>
      <c r="J150" s="52">
        <f t="shared" si="6"/>
        <v>40.38388888888889</v>
      </c>
      <c r="K150" s="53">
        <f t="shared" si="7"/>
        <v>2.5400000000000005</v>
      </c>
      <c r="L150" s="52">
        <v>78.5</v>
      </c>
      <c r="M150" s="50">
        <v>500</v>
      </c>
      <c r="N150" s="52">
        <f t="shared" si="8"/>
        <v>15.899168853893261</v>
      </c>
    </row>
    <row r="151" spans="5:14" ht="9" customHeight="1">
      <c r="E151" s="56">
        <v>0</v>
      </c>
      <c r="F151" s="43">
        <v>0</v>
      </c>
      <c r="G151" s="56">
        <v>0</v>
      </c>
      <c r="H151" s="43">
        <v>0</v>
      </c>
      <c r="I151" s="14"/>
      <c r="J151" s="52">
        <f t="shared" si="6"/>
        <v>42.184444444444445</v>
      </c>
      <c r="K151" s="53">
        <f t="shared" si="7"/>
        <v>3.048</v>
      </c>
      <c r="L151" s="52">
        <v>82</v>
      </c>
      <c r="M151" s="50">
        <v>600</v>
      </c>
      <c r="N151" s="52">
        <f t="shared" si="8"/>
        <v>13.840040828229805</v>
      </c>
    </row>
    <row r="152" spans="5:14" ht="9" customHeight="1">
      <c r="E152" s="57">
        <v>500</v>
      </c>
      <c r="F152" s="322">
        <f>(E152*0.3048/60)*MAX(N142:N152)*3.6/1.852</f>
        <v>153.0583153347732</v>
      </c>
      <c r="G152" s="57">
        <v>500</v>
      </c>
      <c r="H152" s="322">
        <f>(G152*0.3048/60)*MAX(N113:N140)*3.6/1.852</f>
        <v>144.88783510812357</v>
      </c>
      <c r="I152" s="14"/>
      <c r="J152" s="52">
        <f t="shared" si="6"/>
        <v>43.72777777777778</v>
      </c>
      <c r="K152" s="53">
        <f t="shared" si="7"/>
        <v>3.556</v>
      </c>
      <c r="L152" s="52">
        <v>85</v>
      </c>
      <c r="M152" s="50">
        <v>700</v>
      </c>
      <c r="N152" s="52">
        <f t="shared" si="8"/>
        <v>12.296900387451569</v>
      </c>
    </row>
    <row r="153" spans="9:14" ht="9" customHeight="1">
      <c r="I153" s="14"/>
      <c r="J153" s="58"/>
      <c r="K153" s="59"/>
      <c r="L153" s="60"/>
      <c r="M153" s="60"/>
      <c r="N153" s="60"/>
    </row>
    <row r="154" spans="9:14" ht="9" customHeight="1">
      <c r="I154" s="14"/>
      <c r="J154" s="58"/>
      <c r="K154" s="59"/>
      <c r="L154" s="60"/>
      <c r="M154" s="60"/>
      <c r="N154" s="60"/>
    </row>
    <row r="155" spans="9:14" ht="9" customHeight="1">
      <c r="I155" s="14"/>
      <c r="J155" s="58"/>
      <c r="K155" s="59"/>
      <c r="L155" s="60"/>
      <c r="M155" s="60"/>
      <c r="N155" s="60"/>
    </row>
    <row r="156" spans="9:14" ht="9" customHeight="1">
      <c r="I156" s="14"/>
      <c r="J156" s="58"/>
      <c r="K156" s="59"/>
      <c r="L156" s="60"/>
      <c r="M156" s="60"/>
      <c r="N156" s="60"/>
    </row>
    <row r="157" spans="9:14" ht="12.75">
      <c r="I157" s="14"/>
      <c r="J157" s="14"/>
      <c r="K157" s="14"/>
      <c r="L157" s="14"/>
      <c r="M157" s="14"/>
      <c r="N157" s="14"/>
    </row>
    <row r="158" spans="9:14" ht="12.75">
      <c r="I158" s="14"/>
      <c r="J158" s="14"/>
      <c r="K158" s="14"/>
      <c r="L158" s="14"/>
      <c r="M158" s="14"/>
      <c r="N158" s="14"/>
    </row>
    <row r="159" spans="9:14" ht="12.75">
      <c r="I159" s="14"/>
      <c r="J159" s="14"/>
      <c r="K159" s="14"/>
      <c r="L159" s="14"/>
      <c r="M159" s="14"/>
      <c r="N159" s="14"/>
    </row>
  </sheetData>
  <sheetProtection/>
  <mergeCells count="36">
    <mergeCell ref="G150:H150"/>
    <mergeCell ref="J141:N141"/>
    <mergeCell ref="A50:D50"/>
    <mergeCell ref="A46:D46"/>
    <mergeCell ref="A47:D47"/>
    <mergeCell ref="N60:O60"/>
    <mergeCell ref="E150:F150"/>
    <mergeCell ref="A45:D45"/>
    <mergeCell ref="A33:D33"/>
    <mergeCell ref="A28:D28"/>
    <mergeCell ref="A26:D27"/>
    <mergeCell ref="A34:F34"/>
    <mergeCell ref="A39:D39"/>
    <mergeCell ref="A37:D37"/>
    <mergeCell ref="A36:D36"/>
    <mergeCell ref="A38:D38"/>
    <mergeCell ref="F26:F27"/>
    <mergeCell ref="G26:G27"/>
    <mergeCell ref="A24:D24"/>
    <mergeCell ref="A25:D25"/>
    <mergeCell ref="A16:D16"/>
    <mergeCell ref="A20:D20"/>
    <mergeCell ref="A23:D23"/>
    <mergeCell ref="E26:E27"/>
    <mergeCell ref="A21:D21"/>
    <mergeCell ref="A22:D22"/>
    <mergeCell ref="A1:N1"/>
    <mergeCell ref="A10:D10"/>
    <mergeCell ref="A19:D19"/>
    <mergeCell ref="A12:D12"/>
    <mergeCell ref="A13:D13"/>
    <mergeCell ref="A14:D14"/>
    <mergeCell ref="A18:D18"/>
    <mergeCell ref="A17:D17"/>
    <mergeCell ref="H15:M16"/>
    <mergeCell ref="A15:D15"/>
  </mergeCells>
  <conditionalFormatting sqref="N142:N152">
    <cfRule type="cellIs" priority="1" dxfId="3" operator="equal" stopIfTrue="1">
      <formula>MAX($E$115:$E$142)</formula>
    </cfRule>
  </conditionalFormatting>
  <conditionalFormatting sqref="M142:M152">
    <cfRule type="cellIs" priority="2" dxfId="3" operator="equal" stopIfTrue="1">
      <formula>MIN($D$115:$D$142)</formula>
    </cfRule>
  </conditionalFormatting>
  <conditionalFormatting sqref="N153:N156 N113:N140">
    <cfRule type="cellIs" priority="3" dxfId="0" operator="equal" stopIfTrue="1">
      <formula>MAX($N$113:$N$140)</formula>
    </cfRule>
  </conditionalFormatting>
  <conditionalFormatting sqref="M153:M156 M113:M140">
    <cfRule type="cellIs" priority="4" dxfId="0" operator="equal" stopIfTrue="1">
      <formula>MIN($M$113:$M$140)</formula>
    </cfRule>
  </conditionalFormatting>
  <conditionalFormatting sqref="L58:L98">
    <cfRule type="cellIs" priority="5" dxfId="0" operator="equal" stopIfTrue="1">
      <formula>MAX($L$58:$L$98)</formula>
    </cfRule>
  </conditionalFormatting>
  <hyperlinks>
    <hyperlink ref="B6" r:id="rId1" display="http://library.ProfScholz.de"/>
  </hyperlinks>
  <printOptions/>
  <pageMargins left="0.787401575" right="0.787401575" top="0.984251969" bottom="0.984251969" header="0.4921259845" footer="0.4921259845"/>
  <pageSetup fitToHeight="1" fitToWidth="1" orientation="portrait" paperSize="9" scale="43" r:id="rId15"/>
  <rowBreaks count="2" manualBreakCount="2">
    <brk id="53" max="15" man="1"/>
    <brk id="100" max="15" man="1"/>
  </rowBreaks>
  <ignoredErrors>
    <ignoredError sqref="K146" formula="1"/>
  </ignoredErrors>
  <drawing r:id="rId14"/>
  <legacyDrawing r:id="rId13"/>
  <oleObjects>
    <oleObject progId="Equation.DSMT4" shapeId="68303" r:id="rId2"/>
    <oleObject progId="Equation.DSMT4" shapeId="68304" r:id="rId3"/>
    <oleObject progId="Equation.DSMT4" shapeId="68305" r:id="rId4"/>
    <oleObject progId="Equation.DSMT4" shapeId="68306" r:id="rId5"/>
    <oleObject progId="Equation.DSMT4" shapeId="68307" r:id="rId6"/>
    <oleObject progId="Equation.DSMT4" shapeId="68308" r:id="rId7"/>
    <oleObject progId="Equation.DSMT4" shapeId="68309" r:id="rId8"/>
    <oleObject progId="Equation.DSMT4" shapeId="68310" r:id="rId9"/>
    <oleObject progId="Equation.DSMT4" shapeId="68311" r:id="rId10"/>
    <oleObject progId="Equation.DSMT4" shapeId="68313" r:id="rId11"/>
    <oleObject progId="Equation.DSMT4" shapeId="68314" r:id="rId12"/>
  </oleObjects>
</worksheet>
</file>

<file path=xl/worksheets/sheet10.xml><?xml version="1.0" encoding="utf-8"?>
<worksheet xmlns="http://schemas.openxmlformats.org/spreadsheetml/2006/main" xmlns:r="http://schemas.openxmlformats.org/officeDocument/2006/relationships">
  <dimension ref="A1:R83"/>
  <sheetViews>
    <sheetView zoomScalePageLayoutView="0" workbookViewId="0" topLeftCell="A1">
      <selection activeCell="A3" sqref="A3"/>
    </sheetView>
  </sheetViews>
  <sheetFormatPr defaultColWidth="11.421875" defaultRowHeight="12.75"/>
  <sheetData>
    <row r="1" spans="1:7" s="3" customFormat="1" ht="18">
      <c r="A1" s="359" t="s">
        <v>285</v>
      </c>
      <c r="B1" s="359"/>
      <c r="C1" s="359"/>
      <c r="D1" s="359"/>
      <c r="E1" s="359"/>
      <c r="F1" s="359"/>
      <c r="G1" s="359"/>
    </row>
    <row r="2" spans="1:6" s="3" customFormat="1" ht="12.75">
      <c r="A2" s="376" t="s">
        <v>28</v>
      </c>
      <c r="B2" s="376"/>
      <c r="C2" s="376"/>
      <c r="D2" s="376"/>
      <c r="E2" s="376"/>
      <c r="F2" s="376"/>
    </row>
    <row r="3" spans="1:8" s="3" customFormat="1" ht="12.75">
      <c r="A3" s="20"/>
      <c r="B3" s="20"/>
      <c r="C3" s="20"/>
      <c r="D3" s="20"/>
      <c r="E3" s="20"/>
      <c r="F3" s="20"/>
      <c r="H3" s="14"/>
    </row>
    <row r="4" spans="1:8" s="3" customFormat="1" ht="12.75">
      <c r="A4" s="361" t="s">
        <v>298</v>
      </c>
      <c r="B4" s="361"/>
      <c r="C4" s="361"/>
      <c r="D4" s="361"/>
      <c r="E4" s="4" t="s">
        <v>0</v>
      </c>
      <c r="F4" s="4" t="s">
        <v>1</v>
      </c>
      <c r="G4" s="4" t="s">
        <v>2</v>
      </c>
      <c r="H4" s="21" t="s">
        <v>29</v>
      </c>
    </row>
    <row r="5" spans="1:13" s="3" customFormat="1" ht="12.75">
      <c r="A5" s="360" t="s">
        <v>30</v>
      </c>
      <c r="B5" s="360"/>
      <c r="C5" s="360"/>
      <c r="D5" s="360"/>
      <c r="E5" s="5" t="s">
        <v>291</v>
      </c>
      <c r="F5" s="5" t="s">
        <v>99</v>
      </c>
      <c r="G5" s="22">
        <f>(2*$R$15*9.81/(1.225*$R$21)*(1/(PI()*$R$19*$R$20*$R$18))^0.5)^0.5</f>
        <v>36.90574432636261</v>
      </c>
      <c r="H5" s="226">
        <f>G5*3.6/1.852</f>
        <v>71.73902784822106</v>
      </c>
      <c r="I5" s="13"/>
      <c r="J5" s="14"/>
      <c r="K5" s="14"/>
      <c r="L5" s="14"/>
      <c r="M5" s="14"/>
    </row>
    <row r="6" spans="1:14" s="3" customFormat="1" ht="12.75">
      <c r="A6" s="377" t="s">
        <v>32</v>
      </c>
      <c r="B6" s="378"/>
      <c r="C6" s="378"/>
      <c r="D6" s="379"/>
      <c r="E6" s="5" t="s">
        <v>33</v>
      </c>
      <c r="F6" s="5" t="s">
        <v>225</v>
      </c>
      <c r="G6" s="25">
        <f>2*$R$15*9.81*($R$18/(PI()*$R$19*$R$20))^0.5</f>
        <v>368.16935783434974</v>
      </c>
      <c r="H6" s="26"/>
      <c r="I6" s="13"/>
      <c r="J6" s="13"/>
      <c r="K6" s="13"/>
      <c r="L6" s="14"/>
      <c r="M6" s="14"/>
      <c r="N6" s="14"/>
    </row>
    <row r="7" spans="1:14" s="3" customFormat="1" ht="12.75">
      <c r="A7" s="360" t="s">
        <v>34</v>
      </c>
      <c r="B7" s="360"/>
      <c r="C7" s="360"/>
      <c r="D7" s="360"/>
      <c r="E7" s="5" t="s">
        <v>35</v>
      </c>
      <c r="F7" s="5"/>
      <c r="G7" s="27">
        <f>0.5*(PI()*$R$19*$R$20/$R$18)^0.5</f>
        <v>29.355013114615904</v>
      </c>
      <c r="H7" s="26"/>
      <c r="I7" s="13"/>
      <c r="J7" s="13"/>
      <c r="K7" s="13"/>
      <c r="L7" s="13"/>
      <c r="M7" s="13"/>
      <c r="N7" s="14"/>
    </row>
    <row r="8" spans="1:14" s="3" customFormat="1" ht="12.75">
      <c r="A8" s="14"/>
      <c r="B8" s="14"/>
      <c r="C8" s="14"/>
      <c r="D8" s="14"/>
      <c r="E8" s="28"/>
      <c r="F8" s="28"/>
      <c r="G8" s="29"/>
      <c r="H8" s="30"/>
      <c r="I8" s="14"/>
      <c r="J8" s="14"/>
      <c r="K8" s="14"/>
      <c r="L8" s="14"/>
      <c r="M8" s="14"/>
      <c r="N8" s="14"/>
    </row>
    <row r="9" spans="8:14" s="3" customFormat="1" ht="12.75">
      <c r="H9" s="30"/>
      <c r="I9" s="14"/>
      <c r="J9" s="14"/>
      <c r="K9" s="14"/>
      <c r="L9" s="14"/>
      <c r="M9" s="14"/>
      <c r="N9" s="14"/>
    </row>
    <row r="10" spans="1:14" s="3" customFormat="1" ht="12.75">
      <c r="A10" s="14"/>
      <c r="B10" s="14"/>
      <c r="C10" s="14"/>
      <c r="D10" s="14"/>
      <c r="E10" s="28"/>
      <c r="F10" s="28"/>
      <c r="G10" s="29"/>
      <c r="H10" s="30"/>
      <c r="I10" s="14"/>
      <c r="J10" s="14"/>
      <c r="K10" s="14"/>
      <c r="L10" s="14"/>
      <c r="M10" s="14"/>
      <c r="N10" s="14"/>
    </row>
    <row r="11" spans="1:14" s="3" customFormat="1" ht="12.75">
      <c r="A11" s="14"/>
      <c r="B11" s="14"/>
      <c r="C11" s="14"/>
      <c r="D11" s="14"/>
      <c r="E11" s="28"/>
      <c r="F11" s="28"/>
      <c r="G11" s="29"/>
      <c r="H11" s="30"/>
      <c r="I11" s="14"/>
      <c r="J11" s="14"/>
      <c r="K11" s="14"/>
      <c r="L11" s="14"/>
      <c r="M11" s="14"/>
      <c r="N11" s="14"/>
    </row>
    <row r="12" spans="7:8" s="3" customFormat="1" ht="12.75">
      <c r="G12" s="31"/>
      <c r="H12" s="14"/>
    </row>
    <row r="13" spans="1:8" s="3" customFormat="1" ht="12.75">
      <c r="A13" s="361" t="s">
        <v>298</v>
      </c>
      <c r="B13" s="361"/>
      <c r="C13" s="361"/>
      <c r="D13" s="361"/>
      <c r="E13" s="4" t="s">
        <v>0</v>
      </c>
      <c r="F13" s="4" t="s">
        <v>1</v>
      </c>
      <c r="G13" s="4" t="s">
        <v>2</v>
      </c>
      <c r="H13" s="21" t="s">
        <v>29</v>
      </c>
    </row>
    <row r="14" spans="1:9" s="3" customFormat="1" ht="12.75">
      <c r="A14" s="360" t="s">
        <v>36</v>
      </c>
      <c r="B14" s="360"/>
      <c r="C14" s="360"/>
      <c r="D14" s="360"/>
      <c r="E14" s="5" t="s">
        <v>292</v>
      </c>
      <c r="F14" s="5" t="s">
        <v>99</v>
      </c>
      <c r="G14" s="27">
        <f>1/(3^0.25)*$G$5</f>
        <v>28.0423015447041</v>
      </c>
      <c r="H14" s="226">
        <f>G14*3.6/1.852</f>
        <v>54.50987341303172</v>
      </c>
      <c r="I14" s="13"/>
    </row>
    <row r="15" spans="1:18" s="3" customFormat="1" ht="12.75">
      <c r="A15" s="360" t="s">
        <v>37</v>
      </c>
      <c r="B15" s="360"/>
      <c r="C15" s="360"/>
      <c r="D15" s="360"/>
      <c r="E15" s="5" t="s">
        <v>38</v>
      </c>
      <c r="F15" s="5" t="s">
        <v>235</v>
      </c>
      <c r="G15" s="25">
        <f>0.5*1.225*$G$14^3*$R$21*($R$18+(2*$R$15*9.81/(1.225*$G$14^2*$R$21))^2/(PI()*$R$19*$R$20))</f>
        <v>11921.493419009119</v>
      </c>
      <c r="H15" s="23"/>
      <c r="I15" s="13"/>
      <c r="J15" s="13"/>
      <c r="K15" s="13"/>
      <c r="Q15" s="18" t="s">
        <v>11</v>
      </c>
      <c r="R15" s="308">
        <f>Mission!$H$25</f>
        <v>1101.6938152525026</v>
      </c>
    </row>
    <row r="16" spans="1:18" s="3" customFormat="1" ht="12.75">
      <c r="A16" s="14"/>
      <c r="B16" s="14"/>
      <c r="C16" s="14"/>
      <c r="D16" s="14"/>
      <c r="E16" s="28"/>
      <c r="F16" s="28"/>
      <c r="G16" s="29"/>
      <c r="H16" s="14"/>
      <c r="I16" s="14"/>
      <c r="J16" s="14"/>
      <c r="K16" s="14"/>
      <c r="Q16" s="18" t="s">
        <v>280</v>
      </c>
      <c r="R16" s="309">
        <f>Mission!$L$11</f>
        <v>1.1378613581822594</v>
      </c>
    </row>
    <row r="17" spans="1:18" s="3" customFormat="1" ht="12.75">
      <c r="A17" s="32"/>
      <c r="B17" s="32"/>
      <c r="C17" s="32"/>
      <c r="D17" s="32"/>
      <c r="E17" s="33"/>
      <c r="F17" s="33"/>
      <c r="G17" s="29"/>
      <c r="H17" s="34" t="s">
        <v>39</v>
      </c>
      <c r="I17" s="35" t="s">
        <v>40</v>
      </c>
      <c r="J17" s="14"/>
      <c r="K17" s="14"/>
      <c r="Q17" s="18" t="s">
        <v>283</v>
      </c>
      <c r="R17" s="18">
        <f>Mission!$G$8</f>
        <v>50</v>
      </c>
    </row>
    <row r="18" spans="1:18" s="3" customFormat="1" ht="12.75">
      <c r="A18" s="360" t="s">
        <v>41</v>
      </c>
      <c r="B18" s="360"/>
      <c r="C18" s="360"/>
      <c r="D18" s="360"/>
      <c r="E18" s="5" t="s">
        <v>294</v>
      </c>
      <c r="F18" s="5"/>
      <c r="G18" s="27">
        <f>H18/I18</f>
        <v>25.422187085682726</v>
      </c>
      <c r="H18" s="36">
        <f>2*$R$15*9.81/(1.225*$G$14^2*$R$21)</f>
        <v>1.1999272304442252</v>
      </c>
      <c r="I18" s="37">
        <f>$R$18+$H$18^2/(PI()*$R$19*$R$20)</f>
        <v>0.04720000000000002</v>
      </c>
      <c r="K18" s="14"/>
      <c r="Q18" s="18" t="s">
        <v>12</v>
      </c>
      <c r="R18" s="18">
        <f>Mission!$L$13</f>
        <v>0.0118</v>
      </c>
    </row>
    <row r="19" spans="1:18" ht="12.75">
      <c r="A19" s="3"/>
      <c r="B19" s="3"/>
      <c r="C19" s="3"/>
      <c r="D19" s="3"/>
      <c r="E19" s="3"/>
      <c r="F19" s="3"/>
      <c r="G19" s="3"/>
      <c r="H19" s="3"/>
      <c r="I19" s="3"/>
      <c r="J19" s="3"/>
      <c r="K19" s="3"/>
      <c r="L19" s="3"/>
      <c r="M19" s="3"/>
      <c r="N19" s="3"/>
      <c r="O19" s="3"/>
      <c r="Q19" s="18" t="s">
        <v>22</v>
      </c>
      <c r="R19" s="310">
        <f>Mission!$L$14</f>
        <v>16.320903743315505</v>
      </c>
    </row>
    <row r="20" spans="1:18" ht="12.75">
      <c r="A20" s="3"/>
      <c r="B20" s="3"/>
      <c r="C20" s="3"/>
      <c r="D20" s="3"/>
      <c r="E20" s="3"/>
      <c r="F20" s="3"/>
      <c r="G20" s="3"/>
      <c r="H20" s="3"/>
      <c r="I20" s="3"/>
      <c r="J20" s="3"/>
      <c r="K20" s="3"/>
      <c r="L20" s="3"/>
      <c r="M20" s="3"/>
      <c r="N20" s="3"/>
      <c r="O20" s="3"/>
      <c r="Q20" s="18" t="s">
        <v>26</v>
      </c>
      <c r="R20" s="309">
        <f>Mission!$L$15</f>
        <v>0.7932543822407278</v>
      </c>
    </row>
    <row r="21" spans="16:18" s="3" customFormat="1" ht="12.75">
      <c r="P21"/>
      <c r="Q21" s="18" t="s">
        <v>4</v>
      </c>
      <c r="R21" s="18">
        <f>Mission!$L$12</f>
        <v>18.7</v>
      </c>
    </row>
    <row r="22" spans="1:16" s="3" customFormat="1" ht="18">
      <c r="A22" s="359" t="s">
        <v>286</v>
      </c>
      <c r="B22" s="359"/>
      <c r="C22" s="359"/>
      <c r="D22" s="359"/>
      <c r="E22" s="359"/>
      <c r="F22" s="359"/>
      <c r="G22" s="359"/>
      <c r="H22" s="359"/>
      <c r="I22" s="359"/>
      <c r="P22"/>
    </row>
    <row r="23" s="3" customFormat="1" ht="12.75">
      <c r="P23"/>
    </row>
    <row r="24" s="3" customFormat="1" ht="12.75">
      <c r="P24"/>
    </row>
    <row r="25" s="3" customFormat="1" ht="12.75">
      <c r="P25"/>
    </row>
    <row r="26" s="3" customFormat="1" ht="12.75">
      <c r="P26"/>
    </row>
    <row r="27" s="3" customFormat="1" ht="12.75"/>
    <row r="28" s="3" customFormat="1" ht="12.75">
      <c r="J28" s="47"/>
    </row>
    <row r="29" s="3" customFormat="1" ht="12.75">
      <c r="J29" s="47"/>
    </row>
    <row r="30" s="3" customFormat="1" ht="12.75">
      <c r="J30" s="47"/>
    </row>
    <row r="31" s="3" customFormat="1" ht="12.75">
      <c r="J31" s="47"/>
    </row>
    <row r="32" s="3" customFormat="1" ht="12.75">
      <c r="J32" s="47"/>
    </row>
    <row r="33" spans="10:14" s="3" customFormat="1" ht="25.5">
      <c r="J33" s="4" t="s">
        <v>44</v>
      </c>
      <c r="K33" s="48" t="s">
        <v>45</v>
      </c>
      <c r="L33" s="4" t="s">
        <v>46</v>
      </c>
      <c r="M33" s="4" t="s">
        <v>47</v>
      </c>
      <c r="N33" s="49" t="s">
        <v>48</v>
      </c>
    </row>
    <row r="34" spans="10:14" s="3" customFormat="1" ht="9" customHeight="1">
      <c r="J34" s="50">
        <v>20</v>
      </c>
      <c r="K34" s="51">
        <f aca="true" t="shared" si="0" ref="K34:K73">$R$18*1.225/(2*$R$15*9.81/$R$21)*J34^3+2*$R$15*9.81/(PI()*$R$19*$R$20*$R$21*1.225*J34)</f>
        <v>1.2600107957805964</v>
      </c>
      <c r="L34" s="52">
        <f>J34*3.6/1.852</f>
        <v>38.87688984881209</v>
      </c>
      <c r="M34" s="52">
        <f>K34*60/0.3048</f>
        <v>248.03362121665285</v>
      </c>
      <c r="N34" s="52">
        <f>J34/K34</f>
        <v>15.872879872913856</v>
      </c>
    </row>
    <row r="35" spans="10:14" s="3" customFormat="1" ht="9" customHeight="1">
      <c r="J35" s="50">
        <v>21</v>
      </c>
      <c r="K35" s="51">
        <f t="shared" si="0"/>
        <v>1.2205436570355706</v>
      </c>
      <c r="L35" s="52">
        <f aca="true" t="shared" si="1" ref="L35:L61">J35*3.6/1.852</f>
        <v>40.8207343412527</v>
      </c>
      <c r="M35" s="52">
        <f aca="true" t="shared" si="2" ref="M35:M61">K35*60/0.3048</f>
        <v>240.2644994164509</v>
      </c>
      <c r="N35" s="52">
        <f aca="true" t="shared" si="3" ref="N35:N61">J35/K35</f>
        <v>17.205447653551644</v>
      </c>
    </row>
    <row r="36" spans="10:14" s="3" customFormat="1" ht="9" customHeight="1">
      <c r="J36" s="50">
        <v>22</v>
      </c>
      <c r="K36" s="51">
        <f t="shared" si="0"/>
        <v>1.187673709223308</v>
      </c>
      <c r="L36" s="52">
        <f t="shared" si="1"/>
        <v>42.76457883369331</v>
      </c>
      <c r="M36" s="52">
        <f t="shared" si="2"/>
        <v>233.79403724868268</v>
      </c>
      <c r="N36" s="52">
        <f t="shared" si="3"/>
        <v>18.52360612948748</v>
      </c>
    </row>
    <row r="37" spans="10:14" s="3" customFormat="1" ht="9" customHeight="1">
      <c r="J37" s="50">
        <v>23</v>
      </c>
      <c r="K37" s="51">
        <f t="shared" si="0"/>
        <v>1.1608210065305806</v>
      </c>
      <c r="L37" s="52">
        <f t="shared" si="1"/>
        <v>44.708423326133904</v>
      </c>
      <c r="M37" s="52">
        <f t="shared" si="2"/>
        <v>228.5080721516891</v>
      </c>
      <c r="N37" s="52">
        <f t="shared" si="3"/>
        <v>19.813562875418285</v>
      </c>
    </row>
    <row r="38" spans="10:14" s="3" customFormat="1" ht="9" customHeight="1">
      <c r="J38" s="50">
        <v>24</v>
      </c>
      <c r="K38" s="51">
        <f t="shared" si="0"/>
        <v>1.139514766243059</v>
      </c>
      <c r="L38" s="52">
        <f t="shared" si="1"/>
        <v>46.652267818574515</v>
      </c>
      <c r="M38" s="52">
        <f t="shared" si="2"/>
        <v>224.31393036280684</v>
      </c>
      <c r="N38" s="52">
        <f t="shared" si="3"/>
        <v>21.061596313602127</v>
      </c>
    </row>
    <row r="39" spans="10:14" s="3" customFormat="1" ht="9" customHeight="1">
      <c r="J39" s="50">
        <v>25</v>
      </c>
      <c r="K39" s="51">
        <f t="shared" si="0"/>
        <v>1.123371536125532</v>
      </c>
      <c r="L39" s="52">
        <f t="shared" si="1"/>
        <v>48.59611231101512</v>
      </c>
      <c r="M39" s="52">
        <f t="shared" si="2"/>
        <v>221.1361291585693</v>
      </c>
      <c r="N39" s="52">
        <f t="shared" si="3"/>
        <v>22.254436040122663</v>
      </c>
    </row>
    <row r="40" spans="10:14" s="3" customFormat="1" ht="9" customHeight="1">
      <c r="J40" s="50">
        <v>26</v>
      </c>
      <c r="K40" s="51">
        <f t="shared" si="0"/>
        <v>1.1120784000990007</v>
      </c>
      <c r="L40" s="52">
        <f t="shared" si="1"/>
        <v>50.53995680345572</v>
      </c>
      <c r="M40" s="52">
        <f t="shared" si="2"/>
        <v>218.91307088563005</v>
      </c>
      <c r="N40" s="52">
        <f t="shared" si="3"/>
        <v>23.379646612761654</v>
      </c>
    </row>
    <row r="41" spans="10:14" s="3" customFormat="1" ht="9" customHeight="1">
      <c r="J41" s="50">
        <v>27</v>
      </c>
      <c r="K41" s="51">
        <f t="shared" si="0"/>
        <v>1.1053799159895268</v>
      </c>
      <c r="L41" s="52">
        <f t="shared" si="1"/>
        <v>52.48380129589633</v>
      </c>
      <c r="M41" s="52">
        <f t="shared" si="2"/>
        <v>217.59447165148163</v>
      </c>
      <c r="N41" s="52">
        <f t="shared" si="3"/>
        <v>24.42599110897526</v>
      </c>
    </row>
    <row r="42" spans="10:14" s="3" customFormat="1" ht="9" customHeight="1">
      <c r="J42" s="50">
        <v>28</v>
      </c>
      <c r="K42" s="51">
        <f t="shared" si="0"/>
        <v>1.1030678523309008</v>
      </c>
      <c r="L42" s="52">
        <f t="shared" si="1"/>
        <v>54.42764578833693</v>
      </c>
      <c r="M42" s="52">
        <f t="shared" si="2"/>
        <v>217.13934101001982</v>
      </c>
      <c r="N42" s="52">
        <f t="shared" si="3"/>
        <v>25.383751272265794</v>
      </c>
    </row>
    <row r="43" spans="10:14" s="3" customFormat="1" ht="9" customHeight="1">
      <c r="J43" s="50">
        <v>29</v>
      </c>
      <c r="K43" s="51">
        <f t="shared" si="0"/>
        <v>1.1049730485874474</v>
      </c>
      <c r="L43" s="52">
        <f t="shared" si="1"/>
        <v>56.371490280777536</v>
      </c>
      <c r="M43" s="52">
        <f t="shared" si="2"/>
        <v>217.5143796431983</v>
      </c>
      <c r="N43" s="52">
        <f t="shared" si="3"/>
        <v>26.244984017549044</v>
      </c>
    </row>
    <row r="44" spans="10:14" s="3" customFormat="1" ht="9" customHeight="1">
      <c r="J44" s="50">
        <v>30</v>
      </c>
      <c r="K44" s="51">
        <f t="shared" si="0"/>
        <v>1.11095890333227</v>
      </c>
      <c r="L44" s="52">
        <f t="shared" si="1"/>
        <v>58.31533477321814</v>
      </c>
      <c r="M44" s="52">
        <f t="shared" si="2"/>
        <v>218.69269750635232</v>
      </c>
      <c r="N44" s="52">
        <f t="shared" si="3"/>
        <v>27.003699155762092</v>
      </c>
    </row>
    <row r="45" spans="10:14" s="3" customFormat="1" ht="9" customHeight="1">
      <c r="J45" s="50">
        <v>31</v>
      </c>
      <c r="K45" s="51">
        <f t="shared" si="0"/>
        <v>1.1209161227780924</v>
      </c>
      <c r="L45" s="52">
        <f t="shared" si="1"/>
        <v>60.25917926565875</v>
      </c>
      <c r="M45" s="52">
        <f t="shared" si="2"/>
        <v>220.65278007442765</v>
      </c>
      <c r="N45" s="52">
        <f t="shared" si="3"/>
        <v>27.65594978076434</v>
      </c>
    </row>
    <row r="46" spans="10:14" s="3" customFormat="1" ht="9" customHeight="1">
      <c r="J46" s="50">
        <v>32</v>
      </c>
      <c r="K46" s="51">
        <f t="shared" si="0"/>
        <v>1.1347584539585684</v>
      </c>
      <c r="L46" s="52">
        <f t="shared" si="1"/>
        <v>62.20302375809935</v>
      </c>
      <c r="M46" s="52">
        <f t="shared" si="2"/>
        <v>223.37764841704103</v>
      </c>
      <c r="N46" s="52">
        <f t="shared" si="3"/>
        <v>28.199833972039624</v>
      </c>
    </row>
    <row r="47" spans="10:14" s="3" customFormat="1" ht="9" customHeight="1">
      <c r="J47" s="50">
        <v>33</v>
      </c>
      <c r="K47" s="51">
        <f t="shared" si="0"/>
        <v>1.1524191936948076</v>
      </c>
      <c r="L47" s="52">
        <f t="shared" si="1"/>
        <v>64.14686825053995</v>
      </c>
      <c r="M47" s="52">
        <f t="shared" si="2"/>
        <v>226.85417198716684</v>
      </c>
      <c r="N47" s="52">
        <f t="shared" si="3"/>
        <v>28.635413381304122</v>
      </c>
    </row>
    <row r="48" spans="10:14" s="3" customFormat="1" ht="9" customHeight="1">
      <c r="J48" s="50">
        <v>34</v>
      </c>
      <c r="K48" s="51">
        <f t="shared" si="0"/>
        <v>1.1738483136266316</v>
      </c>
      <c r="L48" s="52">
        <f t="shared" si="1"/>
        <v>66.09071274298056</v>
      </c>
      <c r="M48" s="52">
        <f t="shared" si="2"/>
        <v>231.07250268240776</v>
      </c>
      <c r="N48" s="52">
        <f t="shared" si="3"/>
        <v>28.964560075872335</v>
      </c>
    </row>
    <row r="49" spans="10:14" s="3" customFormat="1" ht="9" customHeight="1">
      <c r="J49" s="50">
        <v>35</v>
      </c>
      <c r="K49" s="51">
        <f t="shared" si="0"/>
        <v>1.1990100780956152</v>
      </c>
      <c r="L49" s="52">
        <f t="shared" si="1"/>
        <v>68.03455723542116</v>
      </c>
      <c r="M49" s="52">
        <f t="shared" si="2"/>
        <v>236.0256059243337</v>
      </c>
      <c r="N49" s="52">
        <f t="shared" si="3"/>
        <v>29.1907471333272</v>
      </c>
    </row>
    <row r="50" spans="10:14" s="3" customFormat="1" ht="9" customHeight="1">
      <c r="J50" s="50">
        <v>36</v>
      </c>
      <c r="K50" s="51">
        <f t="shared" si="0"/>
        <v>1.2278810590476215</v>
      </c>
      <c r="L50" s="52">
        <f t="shared" si="1"/>
        <v>69.97840172786177</v>
      </c>
      <c r="M50" s="52">
        <f t="shared" si="2"/>
        <v>241.70886989126404</v>
      </c>
      <c r="N50" s="52">
        <f t="shared" si="3"/>
        <v>29.318800656410968</v>
      </c>
    </row>
    <row r="51" spans="10:14" s="3" customFormat="1" ht="9" customHeight="1">
      <c r="J51" s="50">
        <v>37</v>
      </c>
      <c r="K51" s="51">
        <f t="shared" si="0"/>
        <v>1.2604484728430319</v>
      </c>
      <c r="L51" s="52">
        <f t="shared" si="1"/>
        <v>71.92224622030238</v>
      </c>
      <c r="M51" s="52">
        <f t="shared" si="2"/>
        <v>248.11977811870705</v>
      </c>
      <c r="N51" s="52">
        <f t="shared" si="3"/>
        <v>29.35463114691539</v>
      </c>
    </row>
    <row r="52" spans="10:14" s="3" customFormat="1" ht="9" customHeight="1">
      <c r="J52" s="50">
        <v>38</v>
      </c>
      <c r="K52" s="51">
        <f t="shared" si="0"/>
        <v>1.2967087796758892</v>
      </c>
      <c r="L52" s="52">
        <f t="shared" si="1"/>
        <v>73.86609071274299</v>
      </c>
      <c r="M52" s="52">
        <f t="shared" si="2"/>
        <v>255.25763379446636</v>
      </c>
      <c r="N52" s="52">
        <f t="shared" si="3"/>
        <v>29.304960832838702</v>
      </c>
    </row>
    <row r="53" spans="10:14" s="3" customFormat="1" ht="9" customHeight="1">
      <c r="J53" s="50">
        <v>39</v>
      </c>
      <c r="K53" s="51">
        <f t="shared" si="0"/>
        <v>1.3366664984670176</v>
      </c>
      <c r="L53" s="52">
        <f t="shared" si="1"/>
        <v>75.80993520518358</v>
      </c>
      <c r="M53" s="52">
        <f t="shared" si="2"/>
        <v>263.12332646988534</v>
      </c>
      <c r="N53" s="52">
        <f t="shared" si="3"/>
        <v>29.177061028108298</v>
      </c>
    </row>
    <row r="54" spans="10:14" s="3" customFormat="1" ht="9" customHeight="1">
      <c r="J54" s="50">
        <v>40</v>
      </c>
      <c r="K54" s="51">
        <f t="shared" si="0"/>
        <v>1.380333199523176</v>
      </c>
      <c r="L54" s="52">
        <f t="shared" si="1"/>
        <v>77.75377969762418</v>
      </c>
      <c r="M54" s="52">
        <f t="shared" si="2"/>
        <v>271.7191337644047</v>
      </c>
      <c r="N54" s="52">
        <f t="shared" si="3"/>
        <v>28.978510416048568</v>
      </c>
    </row>
    <row r="55" spans="10:14" s="3" customFormat="1" ht="9" customHeight="1">
      <c r="J55" s="50">
        <v>41</v>
      </c>
      <c r="K55" s="51">
        <f t="shared" si="0"/>
        <v>1.4277266446119419</v>
      </c>
      <c r="L55" s="52">
        <f t="shared" si="1"/>
        <v>79.69762419006479</v>
      </c>
      <c r="M55" s="52">
        <f t="shared" si="2"/>
        <v>281.0485520889649</v>
      </c>
      <c r="N55" s="52">
        <f t="shared" si="3"/>
        <v>28.716981751884205</v>
      </c>
    </row>
    <row r="56" spans="10:14" s="3" customFormat="1" ht="9" customHeight="1">
      <c r="J56" s="50">
        <v>42</v>
      </c>
      <c r="K56" s="51">
        <f t="shared" si="0"/>
        <v>1.4788700498830454</v>
      </c>
      <c r="L56" s="52">
        <f t="shared" si="1"/>
        <v>81.6414686825054</v>
      </c>
      <c r="M56" s="52">
        <f t="shared" si="2"/>
        <v>291.11615155178055</v>
      </c>
      <c r="N56" s="52">
        <f t="shared" si="3"/>
        <v>28.400061251711413</v>
      </c>
    </row>
    <row r="57" spans="10:14" s="3" customFormat="1" ht="9" customHeight="1">
      <c r="J57" s="50">
        <v>43</v>
      </c>
      <c r="K57" s="51">
        <f t="shared" si="0"/>
        <v>1.5337914516378834</v>
      </c>
      <c r="L57" s="52">
        <f t="shared" si="1"/>
        <v>83.58531317494601</v>
      </c>
      <c r="M57" s="52">
        <f t="shared" si="2"/>
        <v>301.9274511098196</v>
      </c>
      <c r="N57" s="52">
        <f t="shared" si="3"/>
        <v>28.03510213470141</v>
      </c>
    </row>
    <row r="58" spans="10:14" s="3" customFormat="1" ht="9" customHeight="1">
      <c r="J58" s="50">
        <v>44</v>
      </c>
      <c r="K58" s="51">
        <f t="shared" si="0"/>
        <v>1.5925231585850141</v>
      </c>
      <c r="L58" s="52">
        <f t="shared" si="1"/>
        <v>85.52915766738661</v>
      </c>
      <c r="M58" s="52">
        <f t="shared" si="2"/>
        <v>313.48881074508154</v>
      </c>
      <c r="N58" s="52">
        <f t="shared" si="3"/>
        <v>27.629111553451317</v>
      </c>
    </row>
    <row r="59" spans="10:14" s="3" customFormat="1" ht="9" customHeight="1">
      <c r="J59" s="50">
        <v>45</v>
      </c>
      <c r="K59" s="51">
        <f t="shared" si="0"/>
        <v>1.6551012771282494</v>
      </c>
      <c r="L59" s="52">
        <f t="shared" si="1"/>
        <v>87.4730021598272</v>
      </c>
      <c r="M59" s="52">
        <f t="shared" si="2"/>
        <v>325.80733801737193</v>
      </c>
      <c r="N59" s="52">
        <f t="shared" si="3"/>
        <v>27.188668525517105</v>
      </c>
    </row>
    <row r="60" spans="10:14" s="3" customFormat="1" ht="9" customHeight="1">
      <c r="J60" s="50">
        <v>46</v>
      </c>
      <c r="K60" s="51">
        <f t="shared" si="0"/>
        <v>1.7215652985736933</v>
      </c>
      <c r="L60" s="52">
        <f t="shared" si="1"/>
        <v>89.41684665226781</v>
      </c>
      <c r="M60" s="52">
        <f t="shared" si="2"/>
        <v>338.8908068058451</v>
      </c>
      <c r="N60" s="52">
        <f t="shared" si="3"/>
        <v>26.719869434003304</v>
      </c>
    </row>
    <row r="61" spans="10:14" s="3" customFormat="1" ht="9" customHeight="1">
      <c r="J61" s="50">
        <v>47</v>
      </c>
      <c r="K61" s="51">
        <f t="shared" si="0"/>
        <v>1.7919577390337509</v>
      </c>
      <c r="L61" s="52">
        <f t="shared" si="1"/>
        <v>91.36069114470843</v>
      </c>
      <c r="M61" s="52">
        <f t="shared" si="2"/>
        <v>352.7475864239667</v>
      </c>
      <c r="N61" s="52">
        <f t="shared" si="3"/>
        <v>26.228297116729475</v>
      </c>
    </row>
    <row r="62" spans="10:14" s="3" customFormat="1" ht="9" customHeight="1">
      <c r="J62" s="50">
        <v>48</v>
      </c>
      <c r="K62" s="51">
        <f t="shared" si="0"/>
        <v>1.8663238243431421</v>
      </c>
      <c r="L62" s="52">
        <f aca="true" t="shared" si="4" ref="L62:L73">J62*3.6/1.852</f>
        <v>93.30453563714903</v>
      </c>
      <c r="M62" s="52">
        <f aca="true" t="shared" si="5" ref="M62:M73">K62*60/0.3048</f>
        <v>367.3865795951067</v>
      </c>
      <c r="N62" s="52">
        <f aca="true" t="shared" si="6" ref="N62:N73">J62/K62</f>
        <v>25.71900940979186</v>
      </c>
    </row>
    <row r="63" spans="10:14" s="3" customFormat="1" ht="9" customHeight="1">
      <c r="J63" s="50">
        <v>49</v>
      </c>
      <c r="K63" s="51">
        <f t="shared" si="0"/>
        <v>1.9447112135566225</v>
      </c>
      <c r="L63" s="52">
        <f t="shared" si="4"/>
        <v>95.24838012958963</v>
      </c>
      <c r="M63" s="52">
        <f t="shared" si="5"/>
        <v>382.81716802295716</v>
      </c>
      <c r="N63" s="52">
        <f t="shared" si="6"/>
        <v>25.196543146571056</v>
      </c>
    </row>
    <row r="64" spans="10:14" s="3" customFormat="1" ht="9" customHeight="1">
      <c r="J64" s="50">
        <v>50</v>
      </c>
      <c r="K64" s="51">
        <f t="shared" si="0"/>
        <v>2.0271697556269803</v>
      </c>
      <c r="L64" s="52">
        <f t="shared" si="4"/>
        <v>97.19222462203024</v>
      </c>
      <c r="M64" s="52">
        <f t="shared" si="5"/>
        <v>399.0491644935001</v>
      </c>
      <c r="N64" s="52">
        <f t="shared" si="6"/>
        <v>24.66492994048028</v>
      </c>
    </row>
    <row r="65" spans="10:14" s="3" customFormat="1" ht="9" customHeight="1">
      <c r="J65" s="50">
        <v>51</v>
      </c>
      <c r="K65" s="51">
        <f t="shared" si="0"/>
        <v>2.1137512747091507</v>
      </c>
      <c r="L65" s="52">
        <f t="shared" si="4"/>
        <v>99.13606911447083</v>
      </c>
      <c r="M65" s="52">
        <f t="shared" si="5"/>
        <v>416.0927706120375</v>
      </c>
      <c r="N65" s="52">
        <f t="shared" si="6"/>
        <v>24.12772051764583</v>
      </c>
    </row>
    <row r="66" spans="10:14" s="3" customFormat="1" ht="9" customHeight="1">
      <c r="J66" s="50">
        <v>52</v>
      </c>
      <c r="K66" s="51">
        <f t="shared" si="0"/>
        <v>2.2045093802369324</v>
      </c>
      <c r="L66" s="52">
        <f t="shared" si="4"/>
        <v>101.07991360691145</v>
      </c>
      <c r="M66" s="52">
        <f t="shared" si="5"/>
        <v>433.9585394167189</v>
      </c>
      <c r="N66" s="52">
        <f t="shared" si="6"/>
        <v>23.58801485091038</v>
      </c>
    </row>
    <row r="67" spans="10:14" s="3" customFormat="1" ht="9" customHeight="1">
      <c r="J67" s="50">
        <v>53</v>
      </c>
      <c r="K67" s="51">
        <f t="shared" si="0"/>
        <v>2.2994992985004545</v>
      </c>
      <c r="L67" s="52">
        <f t="shared" si="4"/>
        <v>103.02375809935205</v>
      </c>
      <c r="M67" s="52">
        <f t="shared" si="5"/>
        <v>452.65734222449885</v>
      </c>
      <c r="N67" s="52">
        <f t="shared" si="6"/>
        <v>23.04849583322868</v>
      </c>
    </row>
    <row r="68" spans="10:14" s="3" customFormat="1" ht="9" customHeight="1">
      <c r="J68" s="50">
        <v>54</v>
      </c>
      <c r="K68" s="51">
        <f t="shared" si="0"/>
        <v>2.398777722937255</v>
      </c>
      <c r="L68" s="52">
        <f t="shared" si="4"/>
        <v>104.96760259179266</v>
      </c>
      <c r="M68" s="52">
        <f t="shared" si="5"/>
        <v>472.2003391608769</v>
      </c>
      <c r="N68" s="52">
        <f t="shared" si="6"/>
        <v>22.51146468622282</v>
      </c>
    </row>
    <row r="69" spans="10:14" s="3" customFormat="1" ht="9" customHeight="1">
      <c r="J69" s="50">
        <v>55</v>
      </c>
      <c r="K69" s="51">
        <f t="shared" si="0"/>
        <v>2.502402680755244</v>
      </c>
      <c r="L69" s="52">
        <f t="shared" si="4"/>
        <v>106.91144708423326</v>
      </c>
      <c r="M69" s="52">
        <f t="shared" si="5"/>
        <v>492.5989529045756</v>
      </c>
      <c r="N69" s="52">
        <f t="shared" si="6"/>
        <v>21.97887671036245</v>
      </c>
    </row>
    <row r="70" spans="10:18" s="3" customFormat="1" ht="9" customHeight="1">
      <c r="J70" s="50">
        <v>56</v>
      </c>
      <c r="K70" s="51">
        <f t="shared" si="0"/>
        <v>2.6104334138460668</v>
      </c>
      <c r="L70" s="52">
        <f t="shared" si="4"/>
        <v>108.85529157667386</v>
      </c>
      <c r="M70" s="52">
        <f t="shared" si="5"/>
        <v>513.8648452452887</v>
      </c>
      <c r="N70" s="52">
        <f t="shared" si="6"/>
        <v>21.45237633833867</v>
      </c>
      <c r="Q70" s="14"/>
      <c r="R70" s="14"/>
    </row>
    <row r="71" spans="9:18" s="3" customFormat="1" ht="9" customHeight="1">
      <c r="I71" s="14"/>
      <c r="J71" s="50">
        <v>57</v>
      </c>
      <c r="K71" s="51">
        <f t="shared" si="0"/>
        <v>2.7229302722338926</v>
      </c>
      <c r="L71" s="52">
        <f t="shared" si="4"/>
        <v>110.79913606911447</v>
      </c>
      <c r="M71" s="52">
        <f t="shared" si="5"/>
        <v>536.0098961090339</v>
      </c>
      <c r="N71" s="52">
        <f t="shared" si="6"/>
        <v>20.93333075078606</v>
      </c>
      <c r="Q71" s="506" t="s">
        <v>43</v>
      </c>
      <c r="R71" s="506"/>
    </row>
    <row r="72" spans="9:18" s="3" customFormat="1" ht="9" customHeight="1">
      <c r="I72" s="14"/>
      <c r="J72" s="50">
        <v>58</v>
      </c>
      <c r="K72" s="51">
        <f t="shared" si="0"/>
        <v>2.8399546185467557</v>
      </c>
      <c r="L72" s="52">
        <f t="shared" si="4"/>
        <v>112.74298056155507</v>
      </c>
      <c r="M72" s="52">
        <f t="shared" si="5"/>
        <v>559.0461847532983</v>
      </c>
      <c r="N72" s="52">
        <f t="shared" si="6"/>
        <v>20.422861556034093</v>
      </c>
      <c r="Q72" s="306">
        <v>0</v>
      </c>
      <c r="R72" s="242">
        <v>0</v>
      </c>
    </row>
    <row r="73" spans="9:18" s="3" customFormat="1" ht="9" customHeight="1">
      <c r="I73" s="14"/>
      <c r="J73" s="50">
        <v>59</v>
      </c>
      <c r="K73" s="51">
        <f t="shared" si="0"/>
        <v>2.961568742202662</v>
      </c>
      <c r="L73" s="52">
        <f t="shared" si="4"/>
        <v>114.68682505399568</v>
      </c>
      <c r="M73" s="52">
        <f t="shared" si="5"/>
        <v>582.9859728745397</v>
      </c>
      <c r="N73" s="52">
        <f t="shared" si="6"/>
        <v>19.921874228088605</v>
      </c>
      <c r="Q73" s="306">
        <v>500</v>
      </c>
      <c r="R73" s="307">
        <f>(500*0.3048/60)*MAX(N34:N73)*3.6/1.852</f>
        <v>144.93452872969456</v>
      </c>
    </row>
    <row r="74" spans="9:18" s="3" customFormat="1" ht="9" customHeight="1">
      <c r="I74" s="14"/>
      <c r="Q74" s="14"/>
      <c r="R74" s="14"/>
    </row>
    <row r="75" spans="9:18" s="3" customFormat="1" ht="9" customHeight="1">
      <c r="I75" s="14"/>
      <c r="Q75" s="14"/>
      <c r="R75" s="14"/>
    </row>
    <row r="76" s="3" customFormat="1" ht="9" customHeight="1">
      <c r="I76" s="14"/>
    </row>
    <row r="77" s="3" customFormat="1" ht="9" customHeight="1">
      <c r="I77" s="14"/>
    </row>
    <row r="78" spans="10:16" ht="12.75">
      <c r="J78" s="3"/>
      <c r="K78" s="3"/>
      <c r="L78" s="3"/>
      <c r="M78" s="3"/>
      <c r="N78" s="3"/>
      <c r="P78" s="3"/>
    </row>
    <row r="79" ht="12.75">
      <c r="P79" s="3"/>
    </row>
    <row r="80" ht="12.75">
      <c r="P80" s="3"/>
    </row>
    <row r="81" ht="12.75">
      <c r="P81" s="3"/>
    </row>
    <row r="82" ht="12.75">
      <c r="P82" s="3"/>
    </row>
    <row r="83" ht="12.75">
      <c r="P83" s="3"/>
    </row>
  </sheetData>
  <sheetProtection/>
  <mergeCells count="13">
    <mergeCell ref="A14:D14"/>
    <mergeCell ref="A15:D15"/>
    <mergeCell ref="A18:D18"/>
    <mergeCell ref="A1:G1"/>
    <mergeCell ref="A22:G22"/>
    <mergeCell ref="A2:F2"/>
    <mergeCell ref="A4:D4"/>
    <mergeCell ref="A5:D5"/>
    <mergeCell ref="Q71:R71"/>
    <mergeCell ref="H22:I22"/>
    <mergeCell ref="A6:D6"/>
    <mergeCell ref="A7:D7"/>
    <mergeCell ref="A13:D13"/>
  </mergeCells>
  <conditionalFormatting sqref="M34:M73">
    <cfRule type="cellIs" priority="1" dxfId="0" operator="equal" stopIfTrue="1">
      <formula>MIN($M$34:$M$73)</formula>
    </cfRule>
  </conditionalFormatting>
  <conditionalFormatting sqref="N34:N73">
    <cfRule type="cellIs" priority="2" dxfId="0" operator="equal" stopIfTrue="1">
      <formula>MAX($N$34:$N$73)</formula>
    </cfRule>
  </conditionalFormatting>
  <printOptions/>
  <pageMargins left="0.787401575" right="0.787401575" top="0.984251969" bottom="0.984251969" header="0.4921259845" footer="0.4921259845"/>
  <pageSetup orientation="portrait" paperSize="9" scale="47" r:id="rId9"/>
  <drawing r:id="rId8"/>
  <legacyDrawing r:id="rId7"/>
  <oleObjects>
    <oleObject progId="Equation.DSMT4" shapeId="323255" r:id="rId1"/>
    <oleObject progId="Equation.DSMT4" shapeId="323256" r:id="rId2"/>
    <oleObject progId="Equation.DSMT4" shapeId="323257" r:id="rId3"/>
    <oleObject progId="Equation.DSMT4" shapeId="323258" r:id="rId4"/>
    <oleObject progId="Equation.DSMT4" shapeId="323259" r:id="rId5"/>
    <oleObject progId="Equation.DSMT4" shapeId="440075" r:id="rId6"/>
  </oleObjects>
</worksheet>
</file>

<file path=xl/worksheets/sheet11.xml><?xml version="1.0" encoding="utf-8"?>
<worksheet xmlns="http://schemas.openxmlformats.org/spreadsheetml/2006/main" xmlns:r="http://schemas.openxmlformats.org/officeDocument/2006/relationships">
  <dimension ref="A1:T103"/>
  <sheetViews>
    <sheetView zoomScale="95" zoomScaleNormal="95" zoomScalePageLayoutView="0" workbookViewId="0" topLeftCell="A1">
      <selection activeCell="A2" sqref="A2"/>
    </sheetView>
  </sheetViews>
  <sheetFormatPr defaultColWidth="11.421875" defaultRowHeight="12.75"/>
  <cols>
    <col min="7" max="8" width="11.57421875" style="0" bestFit="1" customWidth="1"/>
    <col min="9" max="9" width="7.140625" style="0" bestFit="1" customWidth="1"/>
    <col min="10" max="10" width="6.28125" style="0" customWidth="1"/>
    <col min="11" max="11" width="6.421875" style="0" bestFit="1" customWidth="1"/>
    <col min="12" max="12" width="5.57421875" style="0" customWidth="1"/>
    <col min="13" max="13" width="4.57421875" style="0" bestFit="1" customWidth="1"/>
    <col min="14" max="14" width="5.00390625" style="0" bestFit="1" customWidth="1"/>
    <col min="15" max="15" width="10.28125" style="0" customWidth="1"/>
    <col min="16" max="16" width="7.57421875" style="0" customWidth="1"/>
    <col min="17" max="17" width="6.8515625" style="0" customWidth="1"/>
    <col min="20" max="20" width="11.57421875" style="0" bestFit="1" customWidth="1"/>
  </cols>
  <sheetData>
    <row r="1" spans="1:7" ht="18">
      <c r="A1" s="409" t="s">
        <v>320</v>
      </c>
      <c r="B1" s="409"/>
      <c r="C1" s="409"/>
      <c r="D1" s="409"/>
      <c r="E1" s="409"/>
      <c r="F1" s="409"/>
      <c r="G1" s="409"/>
    </row>
    <row r="3" spans="1:8" ht="12.75">
      <c r="A3" s="361" t="s">
        <v>298</v>
      </c>
      <c r="B3" s="361"/>
      <c r="C3" s="361"/>
      <c r="D3" s="361"/>
      <c r="E3" s="4" t="s">
        <v>0</v>
      </c>
      <c r="F3" s="4" t="s">
        <v>1</v>
      </c>
      <c r="G3" s="4" t="s">
        <v>2</v>
      </c>
      <c r="H3" s="21" t="s">
        <v>29</v>
      </c>
    </row>
    <row r="4" spans="1:12" ht="12.75">
      <c r="A4" s="430" t="s">
        <v>36</v>
      </c>
      <c r="B4" s="430"/>
      <c r="C4" s="430"/>
      <c r="D4" s="430"/>
      <c r="E4" s="5" t="s">
        <v>292</v>
      </c>
      <c r="F4" s="5" t="s">
        <v>99</v>
      </c>
      <c r="G4" s="108">
        <f>Polars2!G14</f>
        <v>28.0423015447041</v>
      </c>
      <c r="H4" s="108">
        <f>G4*3.6/1.852</f>
        <v>54.50987341303172</v>
      </c>
      <c r="J4" s="110"/>
      <c r="K4" s="110"/>
      <c r="L4" s="110"/>
    </row>
    <row r="5" spans="1:7" ht="12.75">
      <c r="A5" s="395" t="s">
        <v>68</v>
      </c>
      <c r="B5" s="396"/>
      <c r="C5" s="396"/>
      <c r="D5" s="397"/>
      <c r="E5" s="67" t="s">
        <v>39</v>
      </c>
      <c r="G5" s="68">
        <f>2*$T$14*9.81/(1.225*G4^2*T15)</f>
        <v>1.1999272304442252</v>
      </c>
    </row>
    <row r="6" spans="1:7" ht="12.75">
      <c r="A6" s="395" t="s">
        <v>69</v>
      </c>
      <c r="B6" s="396"/>
      <c r="C6" s="396"/>
      <c r="D6" s="397"/>
      <c r="E6" s="69" t="s">
        <v>40</v>
      </c>
      <c r="G6" s="69">
        <f>T16+G5^2/(PI()*T17*T18)</f>
        <v>0.04720000000000002</v>
      </c>
    </row>
    <row r="7" spans="1:7" ht="12.75">
      <c r="A7" s="434" t="s">
        <v>95</v>
      </c>
      <c r="B7" s="435"/>
      <c r="C7" s="435"/>
      <c r="D7" s="436"/>
      <c r="E7" s="318" t="s">
        <v>59</v>
      </c>
      <c r="G7" s="317">
        <f>1.6/(1+(1+4*G6*T15/(PI()*Polars!G17^2))^0.5)</f>
        <v>0.7344502975092464</v>
      </c>
    </row>
    <row r="8" spans="1:7" ht="12.75">
      <c r="A8" s="434" t="s">
        <v>96</v>
      </c>
      <c r="B8" s="435"/>
      <c r="C8" s="435"/>
      <c r="D8" s="436"/>
      <c r="E8" s="318" t="s">
        <v>306</v>
      </c>
      <c r="F8" s="69" t="s">
        <v>124</v>
      </c>
      <c r="G8" s="92">
        <f>(T19+Mission!G17)</f>
        <v>111.02947204669181</v>
      </c>
    </row>
    <row r="9" spans="1:8" ht="12.75">
      <c r="A9" s="437" t="s">
        <v>97</v>
      </c>
      <c r="B9" s="438"/>
      <c r="C9" s="438"/>
      <c r="D9" s="439"/>
      <c r="E9" s="319" t="s">
        <v>93</v>
      </c>
      <c r="F9" s="73" t="s">
        <v>225</v>
      </c>
      <c r="G9" s="93">
        <f>0.5*1.225*G4^2*G6*T15</f>
        <v>425.12535570606684</v>
      </c>
      <c r="H9" s="21" t="s">
        <v>98</v>
      </c>
    </row>
    <row r="10" spans="1:9" ht="12.75">
      <c r="A10" s="428" t="s">
        <v>117</v>
      </c>
      <c r="B10" s="429"/>
      <c r="C10" s="429"/>
      <c r="D10" s="429"/>
      <c r="E10" s="425" t="s">
        <v>307</v>
      </c>
      <c r="F10" s="425" t="s">
        <v>99</v>
      </c>
      <c r="G10" s="426">
        <f>G7*G8*1000*1/(T14*9.81)-G9/(T14*9.81)*G4</f>
        <v>6.442136105442698</v>
      </c>
      <c r="H10" s="410">
        <f>G10/0.3048*60</f>
        <v>1268.1370286304523</v>
      </c>
      <c r="I10" s="103"/>
    </row>
    <row r="11" spans="1:13" ht="12.75">
      <c r="A11" s="429"/>
      <c r="B11" s="429"/>
      <c r="C11" s="429"/>
      <c r="D11" s="429"/>
      <c r="E11" s="425"/>
      <c r="F11" s="425"/>
      <c r="G11" s="426"/>
      <c r="H11" s="410"/>
      <c r="I11" s="112"/>
      <c r="J11" s="112"/>
      <c r="K11" s="112"/>
      <c r="L11" s="112"/>
      <c r="M11" s="112"/>
    </row>
    <row r="12" spans="1:10" ht="12.75">
      <c r="A12" s="113"/>
      <c r="B12" s="113"/>
      <c r="C12" s="113"/>
      <c r="D12" s="113"/>
      <c r="E12" s="72"/>
      <c r="F12" s="72"/>
      <c r="G12" s="84"/>
      <c r="H12" s="29"/>
      <c r="I12" s="103"/>
      <c r="J12" s="103"/>
    </row>
    <row r="13" spans="9:17" ht="22.5">
      <c r="I13" s="123" t="s">
        <v>239</v>
      </c>
      <c r="J13" s="123" t="s">
        <v>240</v>
      </c>
      <c r="K13" s="123" t="s">
        <v>241</v>
      </c>
      <c r="L13" s="123" t="s">
        <v>242</v>
      </c>
      <c r="M13" s="123" t="s">
        <v>238</v>
      </c>
      <c r="N13" s="123" t="s">
        <v>243</v>
      </c>
      <c r="O13" s="123" t="s">
        <v>244</v>
      </c>
      <c r="P13" s="123" t="s">
        <v>245</v>
      </c>
      <c r="Q13" s="123" t="s">
        <v>246</v>
      </c>
    </row>
    <row r="14" spans="9:20" ht="9" customHeight="1">
      <c r="I14" s="38">
        <v>10</v>
      </c>
      <c r="J14" s="124">
        <f>2*$T$14*9.81/(1.225*I14^2*$T$15)</f>
        <v>9.435875872641756</v>
      </c>
      <c r="K14" s="124">
        <f>$T$16+J14^2/(PI()*$T$17*$T$18)</f>
        <v>2.2008610934348534</v>
      </c>
      <c r="L14" s="125">
        <f>0.5*1.225*I14^3*K14*$T$15/1000</f>
        <v>25.20811274892945</v>
      </c>
      <c r="M14" s="40">
        <f>1.6/(1+(1+4*K14*$T$15/(PI()*Polars!$G$17^2))^0.5)</f>
        <v>0.2977288120217134</v>
      </c>
      <c r="N14" s="125">
        <f>($T$19+Mission!$G$17)*1000*M14/1000</f>
        <v>33.05667281185959</v>
      </c>
      <c r="O14" s="40">
        <f>N14*1000/($T$14*9.81)</f>
        <v>3.0586460334790218</v>
      </c>
      <c r="P14" s="40">
        <f>L14*1000/($T$14*9.81)</f>
        <v>2.3324396411529733</v>
      </c>
      <c r="Q14" s="40">
        <f>O14-P14</f>
        <v>0.7262063923260484</v>
      </c>
      <c r="R14" s="312"/>
      <c r="S14" s="313" t="s">
        <v>11</v>
      </c>
      <c r="T14" s="314">
        <f>Mission!H25</f>
        <v>1101.6938152525026</v>
      </c>
    </row>
    <row r="15" spans="9:20" ht="9" customHeight="1">
      <c r="I15" s="38">
        <v>12</v>
      </c>
      <c r="J15" s="124">
        <f aca="true" t="shared" si="0" ref="J15:J49">2*$T$14*9.81/(1.225*I15^2*$T$15)</f>
        <v>6.552691578223442</v>
      </c>
      <c r="K15" s="124">
        <f aca="true" t="shared" si="1" ref="K15:K49">$T$16+J15^2/(PI()*$T$17*$T$18)</f>
        <v>1.0674814686703578</v>
      </c>
      <c r="L15" s="125">
        <f aca="true" t="shared" si="2" ref="L15:L49">0.5*1.225*I15^3*K15*$T$15/1000</f>
        <v>21.12767862644122</v>
      </c>
      <c r="M15" s="40">
        <f>1.6/(1+(1+4*K15*$T$15/(PI()*Polars!$G$17^2))^0.5)</f>
        <v>0.3874442366302551</v>
      </c>
      <c r="N15" s="125">
        <f>($T$19+Mission!$G$17)*1000*M15/1000</f>
        <v>43.01772904059076</v>
      </c>
      <c r="O15" s="40">
        <f aca="true" t="shared" si="3" ref="O15:O49">N15*1000/($T$14*9.81)</f>
        <v>3.9803160786367258</v>
      </c>
      <c r="P15" s="40">
        <f aca="true" t="shared" si="4" ref="P15:P49">L15*1000/($T$14*9.81)</f>
        <v>1.9548879221807154</v>
      </c>
      <c r="Q15" s="40">
        <f aca="true" t="shared" si="5" ref="Q15:Q49">O15-P15</f>
        <v>2.0254281564560106</v>
      </c>
      <c r="R15" s="312"/>
      <c r="S15" s="313" t="s">
        <v>4</v>
      </c>
      <c r="T15" s="313">
        <f>Polars!$G$13</f>
        <v>18.7</v>
      </c>
    </row>
    <row r="16" spans="9:20" ht="9" customHeight="1">
      <c r="I16" s="38">
        <v>14</v>
      </c>
      <c r="J16" s="124">
        <f t="shared" si="0"/>
        <v>4.814222384000896</v>
      </c>
      <c r="K16" s="124">
        <f t="shared" si="1"/>
        <v>0.5816305636804597</v>
      </c>
      <c r="L16" s="125">
        <f t="shared" si="2"/>
        <v>18.2801193326639</v>
      </c>
      <c r="M16" s="40">
        <f>1.6/(1+(1+4*K16*$T$15/(PI()*Polars!$G$17^2))^0.5)</f>
        <v>0.4696735561744359</v>
      </c>
      <c r="N16" s="125">
        <f>($T$19+Mission!$G$17)*1000*M16/1000</f>
        <v>52.147606976339866</v>
      </c>
      <c r="O16" s="40">
        <f t="shared" si="3"/>
        <v>4.825079406551207</v>
      </c>
      <c r="P16" s="40">
        <f t="shared" si="4"/>
        <v>1.691410832741648</v>
      </c>
      <c r="Q16" s="40">
        <f t="shared" si="5"/>
        <v>3.1336685738095587</v>
      </c>
      <c r="R16" s="312"/>
      <c r="S16" s="313" t="s">
        <v>12</v>
      </c>
      <c r="T16" s="313">
        <f>Polars!$G$19</f>
        <v>0.0118</v>
      </c>
    </row>
    <row r="17" spans="9:20" ht="9" customHeight="1">
      <c r="I17" s="38">
        <v>16</v>
      </c>
      <c r="J17" s="124">
        <f t="shared" si="0"/>
        <v>3.6858890127506854</v>
      </c>
      <c r="K17" s="124">
        <f t="shared" si="1"/>
        <v>0.3458242146964802</v>
      </c>
      <c r="L17" s="125">
        <f t="shared" si="2"/>
        <v>16.224190869830903</v>
      </c>
      <c r="M17" s="40">
        <f>1.6/(1+(1+4*K17*$T$15/(PI()*Polars!$G$17^2))^0.5)</f>
        <v>0.5401910607887148</v>
      </c>
      <c r="N17" s="125">
        <f>($T$19+Mission!$G$17)*1000*M17/1000</f>
        <v>59.977128283713405</v>
      </c>
      <c r="O17" s="40">
        <f t="shared" si="3"/>
        <v>5.549524193452021</v>
      </c>
      <c r="P17" s="40">
        <f t="shared" si="4"/>
        <v>1.5011812390450696</v>
      </c>
      <c r="Q17" s="40">
        <f t="shared" si="5"/>
        <v>4.048342954406952</v>
      </c>
      <c r="R17" s="312"/>
      <c r="S17" s="313" t="s">
        <v>22</v>
      </c>
      <c r="T17" s="315">
        <f>Polars!$G$24</f>
        <v>16.320903743315505</v>
      </c>
    </row>
    <row r="18" spans="9:20" ht="9" customHeight="1">
      <c r="I18" s="38">
        <v>18</v>
      </c>
      <c r="J18" s="124">
        <f t="shared" si="0"/>
        <v>2.9123073680993072</v>
      </c>
      <c r="K18" s="124">
        <f t="shared" si="1"/>
        <v>0.2203296728237743</v>
      </c>
      <c r="L18" s="125">
        <f t="shared" si="2"/>
        <v>14.71764097429414</v>
      </c>
      <c r="M18" s="40">
        <f>1.6/(1+(1+4*K18*$T$15/(PI()*Polars!$G$17^2))^0.5)</f>
        <v>0.5974923060774175</v>
      </c>
      <c r="N18" s="125">
        <f>($T$19+Mission!$G$17)*1000*M18/1000</f>
        <v>66.33925529573607</v>
      </c>
      <c r="O18" s="40">
        <f t="shared" si="3"/>
        <v>6.138194888187864</v>
      </c>
      <c r="P18" s="40">
        <f t="shared" si="4"/>
        <v>1.3617841833145075</v>
      </c>
      <c r="Q18" s="40">
        <f t="shared" si="5"/>
        <v>4.776410704873356</v>
      </c>
      <c r="R18" s="312"/>
      <c r="S18" s="313" t="s">
        <v>26</v>
      </c>
      <c r="T18" s="316">
        <f>Polars!$G$28</f>
        <v>0.7932543822407278</v>
      </c>
    </row>
    <row r="19" spans="9:20" ht="9" customHeight="1">
      <c r="I19" s="38">
        <v>20</v>
      </c>
      <c r="J19" s="124">
        <f t="shared" si="0"/>
        <v>2.358968968160439</v>
      </c>
      <c r="K19" s="124">
        <f t="shared" si="1"/>
        <v>0.14861631833967834</v>
      </c>
      <c r="L19" s="125">
        <f t="shared" si="2"/>
        <v>13.617713249464726</v>
      </c>
      <c r="M19" s="40">
        <f>1.6/(1+(1+4*K19*$T$15/(PI()*Polars!$G$17^2))^0.5)</f>
        <v>0.6421990240347232</v>
      </c>
      <c r="N19" s="125">
        <f>($T$19+Mission!$G$17)*1000*M19/1000</f>
        <v>71.30301858747606</v>
      </c>
      <c r="O19" s="40">
        <f t="shared" si="3"/>
        <v>6.597478706308919</v>
      </c>
      <c r="P19" s="40">
        <f t="shared" si="4"/>
        <v>1.2600107957805964</v>
      </c>
      <c r="Q19" s="40">
        <f t="shared" si="5"/>
        <v>5.337467910528322</v>
      </c>
      <c r="R19" s="312"/>
      <c r="S19" s="313" t="s">
        <v>164</v>
      </c>
      <c r="T19" s="314">
        <f>Mission!K78</f>
        <v>13.595150622739292</v>
      </c>
    </row>
    <row r="20" spans="9:20" ht="9" customHeight="1">
      <c r="I20" s="38">
        <v>22</v>
      </c>
      <c r="J20" s="124">
        <f t="shared" si="0"/>
        <v>1.9495611307111063</v>
      </c>
      <c r="K20" s="124">
        <f t="shared" si="1"/>
        <v>0.10524738633951117</v>
      </c>
      <c r="L20" s="125">
        <f t="shared" si="2"/>
        <v>12.835921771695205</v>
      </c>
      <c r="M20" s="40">
        <f>1.6/(1+(1+4*K20*$T$15/(PI()*Polars!$G$17^2))^0.5)</f>
        <v>0.6761280173441344</v>
      </c>
      <c r="N20" s="125">
        <f>($T$19+Mission!$G$17)*1000*M20/1000</f>
        <v>75.07013680169572</v>
      </c>
      <c r="O20" s="40">
        <f t="shared" si="3"/>
        <v>6.946040137435035</v>
      </c>
      <c r="P20" s="40">
        <f t="shared" si="4"/>
        <v>1.1876737092233078</v>
      </c>
      <c r="Q20" s="40">
        <f t="shared" si="5"/>
        <v>5.758366428211727</v>
      </c>
      <c r="R20" s="312"/>
      <c r="S20" s="312"/>
      <c r="T20" s="320"/>
    </row>
    <row r="21" spans="9:20" ht="9" customHeight="1">
      <c r="I21" s="38">
        <v>24</v>
      </c>
      <c r="J21" s="124">
        <f t="shared" si="0"/>
        <v>1.6381728945558605</v>
      </c>
      <c r="K21" s="124">
        <f t="shared" si="1"/>
        <v>0.07778009179189736</v>
      </c>
      <c r="L21" s="125">
        <f t="shared" si="2"/>
        <v>12.315438393220608</v>
      </c>
      <c r="M21" s="40">
        <f>1.6/(1+(1+4*K21*$T$15/(PI()*Polars!$G$17^2))^0.5)</f>
        <v>0.7014660897368021</v>
      </c>
      <c r="N21" s="125">
        <f>($T$19+Mission!$G$17)*1000*M21/1000</f>
        <v>77.88340960213448</v>
      </c>
      <c r="O21" s="40">
        <f t="shared" si="3"/>
        <v>7.206344788817533</v>
      </c>
      <c r="P21" s="40">
        <f t="shared" si="4"/>
        <v>1.1395147662430591</v>
      </c>
      <c r="Q21" s="40">
        <f t="shared" si="5"/>
        <v>6.066830022574473</v>
      </c>
      <c r="R21" s="312"/>
      <c r="S21" s="312"/>
      <c r="T21" s="312"/>
    </row>
    <row r="22" spans="9:20" ht="9" customHeight="1">
      <c r="I22" s="38">
        <v>26</v>
      </c>
      <c r="J22" s="124">
        <f t="shared" si="0"/>
        <v>1.3958396261304373</v>
      </c>
      <c r="K22" s="124">
        <f t="shared" si="1"/>
        <v>0.05970319608545862</v>
      </c>
      <c r="L22" s="125">
        <f t="shared" si="2"/>
        <v>12.01891667451133</v>
      </c>
      <c r="M22" s="40">
        <f>1.6/(1+(1+4*K22*$T$15/(PI()*Polars!$G$17^2))^0.5)</f>
        <v>0.7202594217138343</v>
      </c>
      <c r="N22" s="125">
        <f>($T$19+Mission!$G$17)*1000*M22/1000</f>
        <v>79.97002332954257</v>
      </c>
      <c r="O22" s="40">
        <f t="shared" si="3"/>
        <v>7.399413608449311</v>
      </c>
      <c r="P22" s="40">
        <f t="shared" si="4"/>
        <v>1.1120784000990007</v>
      </c>
      <c r="Q22" s="40">
        <f t="shared" si="5"/>
        <v>6.287335208350311</v>
      </c>
      <c r="R22" s="312"/>
      <c r="S22" s="312"/>
      <c r="T22" s="312"/>
    </row>
    <row r="23" spans="9:20" ht="9" customHeight="1">
      <c r="I23" s="38">
        <v>28</v>
      </c>
      <c r="J23" s="124">
        <f t="shared" si="0"/>
        <v>1.203555596000224</v>
      </c>
      <c r="K23" s="124">
        <f t="shared" si="1"/>
        <v>0.04741441023002873</v>
      </c>
      <c r="L23" s="125">
        <f t="shared" si="2"/>
        <v>11.921534131331947</v>
      </c>
      <c r="M23" s="40">
        <f>1.6/(1+(1+4*K23*$T$15/(PI()*Polars!$G$17^2))^0.5)</f>
        <v>0.7341977998993892</v>
      </c>
      <c r="N23" s="125">
        <f>($T$19+Mission!$G$17)*1000*M23/1000</f>
        <v>81.51759410067184</v>
      </c>
      <c r="O23" s="40">
        <f t="shared" si="3"/>
        <v>7.542606216718841</v>
      </c>
      <c r="P23" s="40">
        <f t="shared" si="4"/>
        <v>1.1030678523309008</v>
      </c>
      <c r="Q23" s="40">
        <f t="shared" si="5"/>
        <v>6.439538364387941</v>
      </c>
      <c r="R23" s="312"/>
      <c r="S23" s="312"/>
      <c r="T23" s="312"/>
    </row>
    <row r="24" spans="9:20" ht="9" customHeight="1">
      <c r="I24" s="38">
        <v>30</v>
      </c>
      <c r="J24" s="124">
        <f t="shared" si="0"/>
        <v>1.0484306525157505</v>
      </c>
      <c r="K24" s="124">
        <f t="shared" si="1"/>
        <v>0.038825445597961146</v>
      </c>
      <c r="L24" s="125">
        <f t="shared" si="2"/>
        <v>12.006817582976483</v>
      </c>
      <c r="M24" s="40">
        <f>1.6/(1+(1+4*K24*$T$15/(PI()*Polars!$G$17^2))^0.5)</f>
        <v>0.7445826030264202</v>
      </c>
      <c r="N24" s="125">
        <f>($T$19+Mission!$G$17)*1000*M24/1000</f>
        <v>82.67061330917495</v>
      </c>
      <c r="O24" s="40">
        <f t="shared" si="3"/>
        <v>7.649292018060224</v>
      </c>
      <c r="P24" s="40">
        <f t="shared" si="4"/>
        <v>1.1109589033322698</v>
      </c>
      <c r="Q24" s="40">
        <f t="shared" si="5"/>
        <v>6.538333114727955</v>
      </c>
      <c r="R24" s="312"/>
      <c r="S24" s="312"/>
      <c r="T24" s="312"/>
    </row>
    <row r="25" spans="9:20" ht="9" customHeight="1">
      <c r="I25" s="38">
        <v>32</v>
      </c>
      <c r="J25" s="124">
        <f t="shared" si="0"/>
        <v>0.9214722531876713</v>
      </c>
      <c r="K25" s="124">
        <f t="shared" si="1"/>
        <v>0.032676513418530014</v>
      </c>
      <c r="L25" s="125">
        <f t="shared" si="2"/>
        <v>12.264033994915453</v>
      </c>
      <c r="M25" s="40">
        <f>1.6/(1+(1+4*K25*$T$15/(PI()*Polars!$G$17^2))^0.5)</f>
        <v>0.7523775950378794</v>
      </c>
      <c r="N25" s="125">
        <f>($T$19+Mission!$G$17)*1000*M25/1000</f>
        <v>83.53608715681544</v>
      </c>
      <c r="O25" s="40">
        <f t="shared" si="3"/>
        <v>7.729372011779849</v>
      </c>
      <c r="P25" s="40">
        <f t="shared" si="4"/>
        <v>1.1347584539585684</v>
      </c>
      <c r="Q25" s="40">
        <f t="shared" si="5"/>
        <v>6.594613557821281</v>
      </c>
      <c r="R25" s="312"/>
      <c r="S25" s="312"/>
      <c r="T25" s="312"/>
    </row>
    <row r="26" spans="9:20" ht="9" customHeight="1">
      <c r="I26" s="38">
        <v>34</v>
      </c>
      <c r="J26" s="124">
        <f t="shared" si="0"/>
        <v>0.8162522381177988</v>
      </c>
      <c r="K26" s="124">
        <f t="shared" si="1"/>
        <v>0.028181068035545348</v>
      </c>
      <c r="L26" s="125">
        <f t="shared" si="2"/>
        <v>12.68650220050866</v>
      </c>
      <c r="M26" s="40">
        <f>1.6/(1+(1+4*K26*$T$15/(PI()*Polars!$G$17^2))^0.5)</f>
        <v>0.7582820548195195</v>
      </c>
      <c r="N26" s="125">
        <f>($T$19+Mission!$G$17)*1000*M26/1000</f>
        <v>84.19165620909186</v>
      </c>
      <c r="O26" s="40">
        <f t="shared" si="3"/>
        <v>7.790030072947381</v>
      </c>
      <c r="P26" s="40">
        <f t="shared" si="4"/>
        <v>1.1738483136266313</v>
      </c>
      <c r="Q26" s="40">
        <f t="shared" si="5"/>
        <v>6.6161817593207495</v>
      </c>
      <c r="R26" s="312"/>
      <c r="S26" s="312"/>
      <c r="T26" s="312"/>
    </row>
    <row r="27" spans="9:20" ht="9" customHeight="1">
      <c r="I27" s="38">
        <v>36</v>
      </c>
      <c r="J27" s="124">
        <f t="shared" si="0"/>
        <v>0.7280768420248268</v>
      </c>
      <c r="K27" s="124">
        <f t="shared" si="1"/>
        <v>0.024833104551485893</v>
      </c>
      <c r="L27" s="125">
        <f t="shared" si="2"/>
        <v>13.27046738214707</v>
      </c>
      <c r="M27" s="40">
        <f>1.6/(1+(1+4*K27*$T$15/(PI()*Polars!$G$17^2))^0.5)</f>
        <v>0.7627989581019842</v>
      </c>
      <c r="N27" s="125">
        <f>($T$19+Mission!$G$17)*1000*M27/1000</f>
        <v>84.69316559582988</v>
      </c>
      <c r="O27" s="40">
        <f t="shared" si="3"/>
        <v>7.836433402926447</v>
      </c>
      <c r="P27" s="40">
        <f t="shared" si="4"/>
        <v>1.2278810590476215</v>
      </c>
      <c r="Q27" s="40">
        <f t="shared" si="5"/>
        <v>6.608552343878825</v>
      </c>
      <c r="R27" s="312"/>
      <c r="S27" s="312"/>
      <c r="T27" s="312"/>
    </row>
    <row r="28" spans="9:20" ht="9" customHeight="1">
      <c r="I28" s="38">
        <v>38</v>
      </c>
      <c r="J28" s="124">
        <f t="shared" si="0"/>
        <v>0.6534540078006756</v>
      </c>
      <c r="K28" s="124">
        <f t="shared" si="1"/>
        <v>0.02229840918498771</v>
      </c>
      <c r="L28" s="125">
        <f t="shared" si="2"/>
        <v>14.014330979402489</v>
      </c>
      <c r="M28" s="40">
        <f>1.6/(1+(1+4*K28*$T$15/(PI()*Polars!$G$17^2))^0.5)</f>
        <v>0.7662896184225286</v>
      </c>
      <c r="N28" s="125">
        <f>($T$19+Mission!$G$17)*1000*M28/1000</f>
        <v>85.08073176831428</v>
      </c>
      <c r="O28" s="40">
        <f t="shared" si="3"/>
        <v>7.872293870279797</v>
      </c>
      <c r="P28" s="40">
        <f t="shared" si="4"/>
        <v>1.2967087796758894</v>
      </c>
      <c r="Q28" s="40">
        <f t="shared" si="5"/>
        <v>6.575585090603907</v>
      </c>
      <c r="R28" s="312"/>
      <c r="S28" s="312"/>
      <c r="T28" s="312"/>
    </row>
    <row r="29" spans="9:20" ht="9" customHeight="1">
      <c r="I29" s="38">
        <v>40</v>
      </c>
      <c r="J29" s="124">
        <f t="shared" si="0"/>
        <v>0.5897422420401097</v>
      </c>
      <c r="K29" s="124">
        <f t="shared" si="1"/>
        <v>0.020351019896229894</v>
      </c>
      <c r="L29" s="125">
        <f t="shared" si="2"/>
        <v>14.918111624732362</v>
      </c>
      <c r="M29" s="40">
        <f>1.6/(1+(1+4*K29*$T$15/(PI()*Polars!$G$17^2))^0.5)</f>
        <v>0.7690144582935525</v>
      </c>
      <c r="N29" s="125">
        <f>($T$19+Mission!$G$17)*1000*M29/1000</f>
        <v>85.38326930060585</v>
      </c>
      <c r="O29" s="40">
        <f t="shared" si="3"/>
        <v>7.900286863657827</v>
      </c>
      <c r="P29" s="40">
        <f t="shared" si="4"/>
        <v>1.3803331995231756</v>
      </c>
      <c r="Q29" s="40">
        <f t="shared" si="5"/>
        <v>6.519953664134652</v>
      </c>
      <c r="R29" s="312"/>
      <c r="S29" s="312"/>
      <c r="T29" s="312"/>
    </row>
    <row r="30" spans="9:20" ht="9" customHeight="1">
      <c r="I30" s="38">
        <v>42</v>
      </c>
      <c r="J30" s="124">
        <f t="shared" si="0"/>
        <v>0.5349135982223218</v>
      </c>
      <c r="K30" s="124">
        <f t="shared" si="1"/>
        <v>0.018834945230622957</v>
      </c>
      <c r="L30" s="125">
        <f t="shared" si="2"/>
        <v>15.983060097554631</v>
      </c>
      <c r="M30" s="40">
        <f>1.6/(1+(1+4*K30*$T$15/(PI()*Polars!$G$17^2))^0.5)</f>
        <v>0.7711623478093533</v>
      </c>
      <c r="N30" s="125">
        <f>($T$19+Mission!$G$17)*1000*M30/1000</f>
        <v>85.62174833955983</v>
      </c>
      <c r="O30" s="40">
        <f t="shared" si="3"/>
        <v>7.922352694986829</v>
      </c>
      <c r="P30" s="40">
        <f t="shared" si="4"/>
        <v>1.4788700498830454</v>
      </c>
      <c r="Q30" s="40">
        <f t="shared" si="5"/>
        <v>6.443482645103783</v>
      </c>
      <c r="R30" s="312"/>
      <c r="S30" s="312"/>
      <c r="T30" s="312"/>
    </row>
    <row r="31" spans="9:20" ht="9" customHeight="1">
      <c r="I31" s="38">
        <v>44</v>
      </c>
      <c r="J31" s="124">
        <f t="shared" si="0"/>
        <v>0.48739028267777657</v>
      </c>
      <c r="K31" s="124">
        <f t="shared" si="1"/>
        <v>0.01764046164621945</v>
      </c>
      <c r="L31" s="125">
        <f t="shared" si="2"/>
        <v>17.211379290847603</v>
      </c>
      <c r="M31" s="40">
        <f>1.6/(1+(1+4*K31*$T$15/(PI()*Polars!$G$17^2))^0.5)</f>
        <v>0.7728713450479118</v>
      </c>
      <c r="N31" s="125">
        <f>($T$19+Mission!$G$17)*1000*M31/1000</f>
        <v>85.81149740068622</v>
      </c>
      <c r="O31" s="40">
        <f t="shared" si="3"/>
        <v>7.939909671046513</v>
      </c>
      <c r="P31" s="40">
        <f t="shared" si="4"/>
        <v>1.5925231585850141</v>
      </c>
      <c r="Q31" s="40">
        <f t="shared" si="5"/>
        <v>6.347386512461498</v>
      </c>
      <c r="R31" s="312"/>
      <c r="S31" s="312"/>
      <c r="T31" s="312"/>
    </row>
    <row r="32" spans="9:20" ht="9" customHeight="1">
      <c r="I32" s="38">
        <v>46</v>
      </c>
      <c r="J32" s="124">
        <f t="shared" si="0"/>
        <v>0.44592986165603754</v>
      </c>
      <c r="K32" s="124">
        <f t="shared" si="1"/>
        <v>0.016689073378800042</v>
      </c>
      <c r="L32" s="125">
        <f t="shared" si="2"/>
        <v>18.606017229941184</v>
      </c>
      <c r="M32" s="40">
        <f>1.6/(1+(1+4*K32*$T$15/(PI()*Polars!$G$17^2))^0.5)</f>
        <v>0.7742432543821028</v>
      </c>
      <c r="N32" s="125">
        <f>($T$19+Mission!$G$17)*1000*M32/1000</f>
        <v>85.96381976975738</v>
      </c>
      <c r="O32" s="40">
        <f t="shared" si="3"/>
        <v>7.954003654812553</v>
      </c>
      <c r="P32" s="40">
        <f t="shared" si="4"/>
        <v>1.721565298573693</v>
      </c>
      <c r="Q32" s="40">
        <f t="shared" si="5"/>
        <v>6.23243835623886</v>
      </c>
      <c r="R32" s="312"/>
      <c r="S32" s="312"/>
      <c r="T32" s="312"/>
    </row>
    <row r="33" spans="9:20" ht="9" customHeight="1">
      <c r="I33" s="38">
        <v>48</v>
      </c>
      <c r="J33" s="124">
        <f t="shared" si="0"/>
        <v>0.4095432236389651</v>
      </c>
      <c r="K33" s="124">
        <f t="shared" si="1"/>
        <v>0.015923755736993585</v>
      </c>
      <c r="L33" s="125">
        <f t="shared" si="2"/>
        <v>20.170511836610306</v>
      </c>
      <c r="M33" s="40">
        <f>1.6/(1+(1+4*K33*$T$15/(PI()*Polars!$G$17^2))^0.5)</f>
        <v>0.7753538383005655</v>
      </c>
      <c r="N33" s="125">
        <f>($T$19+Mission!$G$17)*1000*M33/1000</f>
        <v>86.08712731588783</v>
      </c>
      <c r="O33" s="40">
        <f t="shared" si="3"/>
        <v>7.965412974165909</v>
      </c>
      <c r="P33" s="40">
        <f t="shared" si="4"/>
        <v>1.8663238243431424</v>
      </c>
      <c r="Q33" s="40">
        <f t="shared" si="5"/>
        <v>6.099089149822767</v>
      </c>
      <c r="R33" s="312"/>
      <c r="S33" s="312"/>
      <c r="T33" s="312"/>
    </row>
    <row r="34" spans="9:20" ht="9" customHeight="1">
      <c r="I34" s="38">
        <v>50</v>
      </c>
      <c r="J34" s="124">
        <f t="shared" si="0"/>
        <v>0.3774350349056702</v>
      </c>
      <c r="K34" s="124">
        <f t="shared" si="1"/>
        <v>0.015302497749495766</v>
      </c>
      <c r="L34" s="125">
        <f t="shared" si="2"/>
        <v>21.908872949785888</v>
      </c>
      <c r="M34" s="40">
        <f>1.6/(1+(1+4*K34*$T$15/(PI()*Polars!$G$17^2))^0.5)</f>
        <v>0.7762600036252053</v>
      </c>
      <c r="N34" s="125">
        <f>($T$19+Mission!$G$17)*1000*M34/1000</f>
        <v>86.18773837346961</v>
      </c>
      <c r="O34" s="40">
        <f t="shared" si="3"/>
        <v>7.974722247786643</v>
      </c>
      <c r="P34" s="40">
        <f t="shared" si="4"/>
        <v>2.02716975562698</v>
      </c>
      <c r="Q34" s="40">
        <f t="shared" si="5"/>
        <v>5.947552492159662</v>
      </c>
      <c r="R34" s="312"/>
      <c r="S34" s="312"/>
      <c r="T34" s="312"/>
    </row>
    <row r="35" spans="9:20" ht="9" customHeight="1">
      <c r="I35" s="38">
        <v>52</v>
      </c>
      <c r="J35" s="124">
        <f t="shared" si="0"/>
        <v>0.34895990653260933</v>
      </c>
      <c r="K35" s="124">
        <f t="shared" si="1"/>
        <v>0.014793949755341164</v>
      </c>
      <c r="L35" s="125">
        <f t="shared" si="2"/>
        <v>23.825491572255665</v>
      </c>
      <c r="M35" s="40">
        <f>1.6/(1+(1+4*K35*$T$15/(PI()*Polars!$G$17^2))^0.5)</f>
        <v>0.7770048871983192</v>
      </c>
      <c r="N35" s="125">
        <f>($T$19+Mission!$G$17)*1000*M35/1000</f>
        <v>86.2704424033287</v>
      </c>
      <c r="O35" s="40">
        <f t="shared" si="3"/>
        <v>7.982374631749208</v>
      </c>
      <c r="P35" s="40">
        <f t="shared" si="4"/>
        <v>2.204509380236933</v>
      </c>
      <c r="Q35" s="40">
        <f t="shared" si="5"/>
        <v>5.777865251512274</v>
      </c>
      <c r="R35" s="312"/>
      <c r="S35" s="312"/>
      <c r="T35" s="312"/>
    </row>
    <row r="36" spans="9:20" ht="9" customHeight="1">
      <c r="I36" s="38">
        <v>54</v>
      </c>
      <c r="J36" s="124">
        <f t="shared" si="0"/>
        <v>0.32358970756658967</v>
      </c>
      <c r="K36" s="124">
        <f t="shared" si="1"/>
        <v>0.014374440405231781</v>
      </c>
      <c r="L36" s="125">
        <f t="shared" si="2"/>
        <v>25.925069284764714</v>
      </c>
      <c r="M36" s="40">
        <f>1.6/(1+(1+4*K36*$T$15/(PI()*Polars!$G$17^2))^0.5)</f>
        <v>0.7776214806549142</v>
      </c>
      <c r="N36" s="125">
        <f>($T$19+Mission!$G$17)*1000*M36/1000</f>
        <v>86.33890244928189</v>
      </c>
      <c r="O36" s="40">
        <f t="shared" si="3"/>
        <v>7.988709057757483</v>
      </c>
      <c r="P36" s="40">
        <f t="shared" si="4"/>
        <v>2.398777722937255</v>
      </c>
      <c r="Q36" s="40">
        <f t="shared" si="5"/>
        <v>5.589931334820228</v>
      </c>
      <c r="R36" s="312"/>
      <c r="S36" s="312"/>
      <c r="T36" s="312"/>
    </row>
    <row r="37" spans="9:20" ht="9" customHeight="1">
      <c r="I37" s="38">
        <v>56</v>
      </c>
      <c r="J37" s="124">
        <f t="shared" si="0"/>
        <v>0.300888899000056</v>
      </c>
      <c r="K37" s="124">
        <f t="shared" si="1"/>
        <v>0.014025900639376795</v>
      </c>
      <c r="L37" s="125">
        <f t="shared" si="2"/>
        <v>28.212562785665973</v>
      </c>
      <c r="M37" s="40">
        <f>1.6/(1+(1+4*K37*$T$15/(PI()*Polars!$G$17^2))^0.5)</f>
        <v>0.7781352344986378</v>
      </c>
      <c r="N37" s="125">
        <f>($T$19+Mission!$G$17)*1000*M37/1000</f>
        <v>86.39594426731247</v>
      </c>
      <c r="O37" s="40">
        <f t="shared" si="3"/>
        <v>7.993986985498568</v>
      </c>
      <c r="P37" s="40">
        <f t="shared" si="4"/>
        <v>2.6104334138460668</v>
      </c>
      <c r="Q37" s="40">
        <f t="shared" si="5"/>
        <v>5.3835535716525005</v>
      </c>
      <c r="R37" s="312"/>
      <c r="S37" s="312"/>
      <c r="T37" s="312"/>
    </row>
    <row r="38" spans="9:20" ht="9" customHeight="1">
      <c r="I38" s="38">
        <v>58</v>
      </c>
      <c r="J38" s="124">
        <f t="shared" si="0"/>
        <v>0.2804957155957716</v>
      </c>
      <c r="K38" s="124">
        <f t="shared" si="1"/>
        <v>0.013734398327392908</v>
      </c>
      <c r="L38" s="125">
        <f t="shared" si="2"/>
        <v>30.69313990512577</v>
      </c>
      <c r="M38" s="40">
        <f>1.6/(1+(1+4*K38*$T$15/(PI()*Polars!$G$17^2))^0.5)</f>
        <v>0.7785659445806838</v>
      </c>
      <c r="N38" s="125">
        <f>($T$19+Mission!$G$17)*1000*M38/1000</f>
        <v>86.44376578032724</v>
      </c>
      <c r="O38" s="40">
        <f t="shared" si="3"/>
        <v>7.998411782934477</v>
      </c>
      <c r="P38" s="40">
        <f t="shared" si="4"/>
        <v>2.8399546185467557</v>
      </c>
      <c r="Q38" s="40">
        <f t="shared" si="5"/>
        <v>5.1584571643877215</v>
      </c>
      <c r="R38" s="312"/>
      <c r="S38" s="312"/>
      <c r="T38" s="312"/>
    </row>
    <row r="39" spans="9:20" ht="9" customHeight="1">
      <c r="I39" s="38">
        <v>60</v>
      </c>
      <c r="J39" s="124">
        <f t="shared" si="0"/>
        <v>0.26210766312893763</v>
      </c>
      <c r="K39" s="124">
        <f t="shared" si="1"/>
        <v>0.01348909034987257</v>
      </c>
      <c r="L39" s="125">
        <f t="shared" si="2"/>
        <v>33.37214441648824</v>
      </c>
      <c r="M39" s="40">
        <f>1.6/(1+(1+4*K39*$T$15/(PI()*Polars!$G$17^2))^0.5)</f>
        <v>0.7789291303980098</v>
      </c>
      <c r="N39" s="125">
        <f>($T$19+Mission!$G$17)*1000*M39/1000</f>
        <v>86.48409010987979</v>
      </c>
      <c r="O39" s="40">
        <f t="shared" si="3"/>
        <v>8.00214288592057</v>
      </c>
      <c r="P39" s="40">
        <f t="shared" si="4"/>
        <v>3.0878357821770974</v>
      </c>
      <c r="Q39" s="40">
        <f t="shared" si="5"/>
        <v>4.9143071037434725</v>
      </c>
      <c r="R39" s="312"/>
      <c r="S39" s="312"/>
      <c r="T39" s="312"/>
    </row>
    <row r="40" spans="9:20" ht="9" customHeight="1">
      <c r="I40" s="38">
        <v>62</v>
      </c>
      <c r="J40" s="124">
        <f t="shared" si="0"/>
        <v>0.2454702360208573</v>
      </c>
      <c r="K40" s="124">
        <f t="shared" si="1"/>
        <v>0.013281464074338086</v>
      </c>
      <c r="L40" s="125">
        <f t="shared" si="2"/>
        <v>36.255067658343464</v>
      </c>
      <c r="M40" s="40">
        <f>1.6/(1+(1+4*K40*$T$15/(PI()*Polars!$G$17^2))^0.5)</f>
        <v>0.7792370506838923</v>
      </c>
      <c r="N40" s="125">
        <f>($T$19+Mission!$G$17)*1000*M40/1000</f>
        <v>86.51827833665378</v>
      </c>
      <c r="O40" s="40">
        <f t="shared" si="3"/>
        <v>8.00530623163322</v>
      </c>
      <c r="P40" s="40">
        <f t="shared" si="4"/>
        <v>3.354585003694679</v>
      </c>
      <c r="Q40" s="40">
        <f t="shared" si="5"/>
        <v>4.650721227938542</v>
      </c>
      <c r="R40" s="312"/>
      <c r="S40" s="312"/>
      <c r="T40" s="312"/>
    </row>
    <row r="41" spans="9:20" ht="9" customHeight="1">
      <c r="I41" s="38">
        <v>64</v>
      </c>
      <c r="J41" s="124">
        <f t="shared" si="0"/>
        <v>0.23036806329691784</v>
      </c>
      <c r="K41" s="124">
        <f t="shared" si="1"/>
        <v>0.013104782088658125</v>
      </c>
      <c r="L41" s="125">
        <f t="shared" si="2"/>
        <v>39.34752547745773</v>
      </c>
      <c r="M41" s="40">
        <f>1.6/(1+(1+4*K41*$T$15/(PI()*Polars!$G$17^2))^0.5)</f>
        <v>0.7794994580134815</v>
      </c>
      <c r="N41" s="125">
        <f>($T$19+Mission!$G$17)*1000*M41/1000</f>
        <v>86.54741328391925</v>
      </c>
      <c r="O41" s="40">
        <f t="shared" si="3"/>
        <v>8.00800201083025</v>
      </c>
      <c r="P41" s="40">
        <f t="shared" si="4"/>
        <v>3.6407219024675515</v>
      </c>
      <c r="Q41" s="40">
        <f t="shared" si="5"/>
        <v>4.367280108362698</v>
      </c>
      <c r="R41" s="312"/>
      <c r="S41" s="312"/>
      <c r="T41" s="312"/>
    </row>
    <row r="42" spans="9:20" ht="9" customHeight="1">
      <c r="I42" s="38">
        <v>66</v>
      </c>
      <c r="J42" s="124">
        <f t="shared" si="0"/>
        <v>0.21661790341234516</v>
      </c>
      <c r="K42" s="124">
        <f t="shared" si="1"/>
        <v>0.01295367143629026</v>
      </c>
      <c r="L42" s="125">
        <f t="shared" si="2"/>
        <v>42.6552393638984</v>
      </c>
      <c r="M42" s="40">
        <f>1.6/(1+(1+4*K42*$T$15/(PI()*Polars!$G$17^2))^0.5)</f>
        <v>0.7797241640755003</v>
      </c>
      <c r="N42" s="125">
        <f>($T$19+Mission!$G$17)*1000*M42/1000</f>
        <v>86.5723622793509</v>
      </c>
      <c r="O42" s="40">
        <f t="shared" si="3"/>
        <v>8.010310475035059</v>
      </c>
      <c r="P42" s="40">
        <f t="shared" si="4"/>
        <v>3.9467758727574944</v>
      </c>
      <c r="Q42" s="40">
        <f t="shared" si="5"/>
        <v>4.0635346022775645</v>
      </c>
      <c r="R42" s="312"/>
      <c r="S42" s="312"/>
      <c r="T42" s="312"/>
    </row>
    <row r="43" spans="9:20" ht="9" customHeight="1">
      <c r="I43" s="38">
        <v>68</v>
      </c>
      <c r="J43" s="124">
        <f t="shared" si="0"/>
        <v>0.2040630595294497</v>
      </c>
      <c r="K43" s="124">
        <f t="shared" si="1"/>
        <v>0.012823816752221584</v>
      </c>
      <c r="L43" s="125">
        <f t="shared" si="2"/>
        <v>46.18402091525433</v>
      </c>
      <c r="M43" s="40">
        <f>1.6/(1+(1+4*K43*$T$15/(PI()*Polars!$G$17^2))^0.5)</f>
        <v>0.7799174664688737</v>
      </c>
      <c r="N43" s="125">
        <f>($T$19+Mission!$G$17)*1000*M43/1000</f>
        <v>86.59382454203251</v>
      </c>
      <c r="O43" s="40">
        <f t="shared" si="3"/>
        <v>8.012296321130163</v>
      </c>
      <c r="P43" s="40">
        <f t="shared" si="4"/>
        <v>4.273284646235644</v>
      </c>
      <c r="Q43" s="40">
        <f t="shared" si="5"/>
        <v>3.7390116748945195</v>
      </c>
      <c r="R43" s="312"/>
      <c r="S43" s="312"/>
      <c r="T43" s="312"/>
    </row>
    <row r="44" spans="9:20" ht="9" customHeight="1">
      <c r="I44" s="38">
        <v>70</v>
      </c>
      <c r="J44" s="124">
        <f t="shared" si="0"/>
        <v>0.19256889536003582</v>
      </c>
      <c r="K44" s="124">
        <f t="shared" si="1"/>
        <v>0.012711728901888736</v>
      </c>
      <c r="L44" s="125">
        <f t="shared" si="2"/>
        <v>49.939758964132785</v>
      </c>
      <c r="M44" s="40">
        <f>1.6/(1+(1+4*K44*$T$15/(PI()*Polars!$G$17^2))^0.5)</f>
        <v>0.7800844734090329</v>
      </c>
      <c r="N44" s="125">
        <f>($T$19+Mission!$G$17)*1000*M44/1000</f>
        <v>86.6123672344265</v>
      </c>
      <c r="O44" s="40">
        <f t="shared" si="3"/>
        <v>8.014012027150056</v>
      </c>
      <c r="P44" s="40">
        <f t="shared" si="4"/>
        <v>4.620793100924012</v>
      </c>
      <c r="Q44" s="40">
        <f t="shared" si="5"/>
        <v>3.3932189262260435</v>
      </c>
      <c r="R44" s="312"/>
      <c r="S44" s="312"/>
      <c r="T44" s="312"/>
    </row>
    <row r="45" spans="9:20" ht="9" customHeight="1">
      <c r="I45" s="38">
        <v>72</v>
      </c>
      <c r="J45" s="124">
        <f t="shared" si="0"/>
        <v>0.1820192105062067</v>
      </c>
      <c r="K45" s="124">
        <f t="shared" si="1"/>
        <v>0.012614569034467869</v>
      </c>
      <c r="L45" s="125">
        <f t="shared" si="2"/>
        <v>53.92840885107354</v>
      </c>
      <c r="M45" s="40">
        <f>1.6/(1+(1+4*K45*$T$15/(PI()*Polars!$G$17^2))^0.5)</f>
        <v>0.7802293525796027</v>
      </c>
      <c r="N45" s="125">
        <f>($T$19+Mission!$G$17)*1000*M45/1000</f>
        <v>86.62845309224544</v>
      </c>
      <c r="O45" s="40">
        <f t="shared" si="3"/>
        <v>8.015500408799747</v>
      </c>
      <c r="P45" s="40">
        <f t="shared" si="4"/>
        <v>4.989852268646754</v>
      </c>
      <c r="Q45" s="40">
        <f t="shared" si="5"/>
        <v>3.0256481401529935</v>
      </c>
      <c r="R45" s="312"/>
      <c r="S45" s="312"/>
      <c r="T45" s="312"/>
    </row>
    <row r="46" spans="9:20" ht="9" customHeight="1">
      <c r="I46" s="38">
        <v>74</v>
      </c>
      <c r="J46" s="124">
        <f t="shared" si="0"/>
        <v>0.17231329204970336</v>
      </c>
      <c r="K46" s="124">
        <f t="shared" si="1"/>
        <v>0.012530013687936513</v>
      </c>
      <c r="L46" s="125">
        <f t="shared" si="2"/>
        <v>58.15598343699047</v>
      </c>
      <c r="M46" s="40">
        <f>1.6/(1+(1+4*K46*$T$15/(PI()*Polars!$G$17^2))^0.5)</f>
        <v>0.7803555231951588</v>
      </c>
      <c r="N46" s="125">
        <f>($T$19+Mission!$G$17)*1000*M46/1000</f>
        <v>86.64246174907845</v>
      </c>
      <c r="O46" s="40">
        <f t="shared" si="3"/>
        <v>8.016796592565745</v>
      </c>
      <c r="P46" s="40">
        <f t="shared" si="4"/>
        <v>5.3810185034352855</v>
      </c>
      <c r="Q46" s="40">
        <f t="shared" si="5"/>
        <v>2.6357780891304596</v>
      </c>
      <c r="R46" s="312"/>
      <c r="S46" s="312"/>
      <c r="T46" s="312"/>
    </row>
    <row r="47" spans="9:20" ht="9" customHeight="1">
      <c r="I47" s="38">
        <v>76</v>
      </c>
      <c r="J47" s="124">
        <f t="shared" si="0"/>
        <v>0.1633635019501689</v>
      </c>
      <c r="K47" s="124">
        <f t="shared" si="1"/>
        <v>0.012456150574061731</v>
      </c>
      <c r="L47" s="125">
        <f t="shared" si="2"/>
        <v>62.62854553470125</v>
      </c>
      <c r="M47" s="40">
        <f>1.6/(1+(1+4*K47*$T$15/(PI()*Polars!$G$17^2))^0.5)</f>
        <v>0.7804658052367247</v>
      </c>
      <c r="N47" s="125">
        <f>($T$19+Mission!$G$17)*1000*M47/1000</f>
        <v>86.65470630592974</v>
      </c>
      <c r="O47" s="40">
        <f t="shared" si="3"/>
        <v>8.017929548851395</v>
      </c>
      <c r="P47" s="40">
        <f t="shared" si="4"/>
        <v>5.794852781237854</v>
      </c>
      <c r="Q47" s="40">
        <f t="shared" si="5"/>
        <v>2.2230767676135414</v>
      </c>
      <c r="R47" s="312"/>
      <c r="S47" s="312"/>
      <c r="T47" s="312"/>
    </row>
    <row r="48" spans="9:20" ht="9" customHeight="1">
      <c r="I48" s="38">
        <v>78</v>
      </c>
      <c r="J48" s="124">
        <f t="shared" si="0"/>
        <v>0.1550932917922708</v>
      </c>
      <c r="K48" s="124">
        <f t="shared" si="1"/>
        <v>0.012391397482536527</v>
      </c>
      <c r="L48" s="125">
        <f t="shared" si="2"/>
        <v>67.35220150483711</v>
      </c>
      <c r="M48" s="40">
        <f>1.6/(1+(1+4*K48*$T$15/(PI()*Polars!$G$17^2))^0.5)</f>
        <v>0.7805625361606652</v>
      </c>
      <c r="N48" s="125">
        <f>($T$19+Mission!$G$17)*1000*M48/1000</f>
        <v>86.66544628934544</v>
      </c>
      <c r="O48" s="40">
        <f t="shared" si="3"/>
        <v>8.018923290957899</v>
      </c>
      <c r="P48" s="40">
        <f t="shared" si="4"/>
        <v>6.231920107366093</v>
      </c>
      <c r="Q48" s="40">
        <f t="shared" si="5"/>
        <v>1.787003183591806</v>
      </c>
      <c r="R48" s="312"/>
      <c r="S48" s="312"/>
      <c r="T48" s="312"/>
    </row>
    <row r="49" spans="9:20" ht="9" customHeight="1">
      <c r="I49" s="38">
        <v>80</v>
      </c>
      <c r="J49" s="124">
        <f t="shared" si="0"/>
        <v>0.14743556051002743</v>
      </c>
      <c r="K49" s="124">
        <f t="shared" si="1"/>
        <v>0.012334438743514368</v>
      </c>
      <c r="L49" s="125">
        <f t="shared" si="2"/>
        <v>72.33309581236617</v>
      </c>
      <c r="M49" s="40">
        <f>1.6/(1+(1+4*K49*$T$15/(PI()*Polars!$G$17^2))^0.5)</f>
        <v>0.7806476627359652</v>
      </c>
      <c r="N49" s="125">
        <f>($T$19+Mission!$G$17)*1000*M49/1000</f>
        <v>86.67489784805814</v>
      </c>
      <c r="O49" s="40">
        <f t="shared" si="3"/>
        <v>8.019797818552716</v>
      </c>
      <c r="P49" s="40">
        <f t="shared" si="4"/>
        <v>6.692789012824608</v>
      </c>
      <c r="Q49" s="40">
        <f t="shared" si="5"/>
        <v>1.3270088057281075</v>
      </c>
      <c r="R49" s="312"/>
      <c r="S49" s="312"/>
      <c r="T49" s="312"/>
    </row>
    <row r="56" spans="1:5" ht="18">
      <c r="A56" s="409" t="s">
        <v>323</v>
      </c>
      <c r="B56" s="409"/>
      <c r="C56" s="409"/>
      <c r="D56" s="409"/>
      <c r="E56" s="409"/>
    </row>
    <row r="58" spans="1:8" ht="12.75">
      <c r="A58" s="361" t="s">
        <v>298</v>
      </c>
      <c r="B58" s="361"/>
      <c r="C58" s="361"/>
      <c r="D58" s="361"/>
      <c r="E58" s="4" t="s">
        <v>0</v>
      </c>
      <c r="F58" s="4" t="s">
        <v>1</v>
      </c>
      <c r="G58" s="4" t="s">
        <v>2</v>
      </c>
      <c r="H58" s="4" t="s">
        <v>11</v>
      </c>
    </row>
    <row r="59" spans="1:8" ht="12.75">
      <c r="A59" s="447" t="s">
        <v>325</v>
      </c>
      <c r="B59" s="447"/>
      <c r="C59" s="447"/>
      <c r="D59" s="447"/>
      <c r="E59" s="423" t="s">
        <v>324</v>
      </c>
      <c r="F59" s="423" t="s">
        <v>110</v>
      </c>
      <c r="G59" s="448">
        <f>MAX(T65:T100)</f>
        <v>31000</v>
      </c>
      <c r="H59" s="410">
        <f>G59*0.3048</f>
        <v>9448.800000000001</v>
      </c>
    </row>
    <row r="60" spans="1:8" ht="12.75">
      <c r="A60" s="447"/>
      <c r="B60" s="447"/>
      <c r="C60" s="447"/>
      <c r="D60" s="447"/>
      <c r="E60" s="423"/>
      <c r="F60" s="423"/>
      <c r="G60" s="448"/>
      <c r="H60" s="410"/>
    </row>
    <row r="61" spans="1:8" ht="12.75">
      <c r="A61" s="447"/>
      <c r="B61" s="447"/>
      <c r="C61" s="447"/>
      <c r="D61" s="447"/>
      <c r="E61" s="423"/>
      <c r="F61" s="423"/>
      <c r="G61" s="448"/>
      <c r="H61" s="410"/>
    </row>
    <row r="64" spans="9:17" ht="45">
      <c r="I64" s="123" t="s">
        <v>247</v>
      </c>
      <c r="J64" s="123" t="s">
        <v>248</v>
      </c>
      <c r="K64" s="123" t="s">
        <v>249</v>
      </c>
      <c r="L64" s="123" t="s">
        <v>250</v>
      </c>
      <c r="M64" s="123" t="s">
        <v>251</v>
      </c>
      <c r="N64" s="123" t="s">
        <v>252</v>
      </c>
      <c r="O64" s="123" t="s">
        <v>242</v>
      </c>
      <c r="P64" s="123" t="s">
        <v>238</v>
      </c>
      <c r="Q64" s="123" t="s">
        <v>253</v>
      </c>
    </row>
    <row r="65" spans="9:20" ht="9" customHeight="1">
      <c r="I65" s="101">
        <f aca="true" t="shared" si="6" ref="I65:I100">J65*0.3048</f>
        <v>0</v>
      </c>
      <c r="J65" s="101">
        <v>0</v>
      </c>
      <c r="K65" s="51">
        <f>(1-$O$103*J65)^4.25588</f>
        <v>1</v>
      </c>
      <c r="L65" s="51">
        <v>1.225</v>
      </c>
      <c r="M65" s="52">
        <f>$T$19+Mission!$G$17*(K65-(1-K65)/7.55)*(1-Mission!$G$19)</f>
        <v>62.312311334715545</v>
      </c>
      <c r="N65" s="52">
        <f aca="true" t="shared" si="7" ref="N65:N100">$G$4*($L$65/L65)^0.5</f>
        <v>28.0423015447041</v>
      </c>
      <c r="O65" s="52">
        <f aca="true" t="shared" si="8" ref="O65:O100">0.5*L65*N65^3*$Q$103*$T$15/1000</f>
        <v>11.921493419009119</v>
      </c>
      <c r="P65" s="40">
        <f>1.6/(1+(1+4*$Q$103*'Climb hyb'!$T$15/(PI()*Polars!$G$17^2))^0.5)</f>
        <v>0.7344502975092464</v>
      </c>
      <c r="Q65" s="52">
        <f>O65/P65</f>
        <v>16.231858655975334</v>
      </c>
      <c r="S65" s="325">
        <f>ABS(M65-Q65)</f>
        <v>46.080452678740215</v>
      </c>
      <c r="T65" s="332">
        <f>IF(S65=MIN($S$65:$S$100),J65,"")</f>
      </c>
    </row>
    <row r="66" spans="9:20" ht="9" customHeight="1">
      <c r="I66" s="101">
        <f t="shared" si="6"/>
        <v>304.8</v>
      </c>
      <c r="J66" s="101">
        <v>1000</v>
      </c>
      <c r="K66" s="51">
        <f>(1-$O$103*J66)^4.25588</f>
        <v>0.9710641101545838</v>
      </c>
      <c r="L66" s="51">
        <f>$L$65*K66</f>
        <v>1.1895535349393653</v>
      </c>
      <c r="M66" s="52">
        <f>$T$19+Mission!$G$17*(K66-(1-K66)/7.55)*(1-Mission!$G$19)</f>
        <v>60.71592509825009</v>
      </c>
      <c r="N66" s="52">
        <f t="shared" si="7"/>
        <v>28.45703863210483</v>
      </c>
      <c r="O66" s="52">
        <f t="shared" si="8"/>
        <v>12.09780867081485</v>
      </c>
      <c r="P66" s="40">
        <f>1.6/(1+(1+4*$Q$103*'Climb hyb'!$T$15/(PI()*Polars!$G$17^2))^0.5)</f>
        <v>0.7344502975092464</v>
      </c>
      <c r="Q66" s="52">
        <f>O66/P66</f>
        <v>16.471922895044568</v>
      </c>
      <c r="S66" s="326">
        <f aca="true" t="shared" si="9" ref="S66:S100">ABS(M66-Q66)</f>
        <v>44.244002203205525</v>
      </c>
      <c r="T66" s="331">
        <f aca="true" t="shared" si="10" ref="T66:T100">IF(S66=MIN($S$65:$S$100),J66,"")</f>
      </c>
    </row>
    <row r="67" spans="9:20" ht="9" customHeight="1">
      <c r="I67" s="101">
        <f t="shared" si="6"/>
        <v>609.6</v>
      </c>
      <c r="J67" s="101">
        <v>2000</v>
      </c>
      <c r="K67" s="51">
        <f>(1-$O$103*J67)^4.25588</f>
        <v>0.9427731679866026</v>
      </c>
      <c r="L67" s="51">
        <f>$L$65*K67</f>
        <v>1.1548971307835882</v>
      </c>
      <c r="M67" s="52">
        <f>$T$19+Mission!$G$17*(K67-(1-K67)/7.55)*(1-Mission!$G$19)</f>
        <v>59.155120473443986</v>
      </c>
      <c r="N67" s="52">
        <f t="shared" si="7"/>
        <v>28.880855139734557</v>
      </c>
      <c r="O67" s="52">
        <f t="shared" si="8"/>
        <v>12.277983814375041</v>
      </c>
      <c r="P67" s="40">
        <f>1.6/(1+(1+4*$Q$103*'Climb hyb'!$T$15/(PI()*Polars!$G$17^2))^0.5)</f>
        <v>0.7344502975092464</v>
      </c>
      <c r="Q67" s="52">
        <f>O67/P67</f>
        <v>16.717242618069015</v>
      </c>
      <c r="S67" s="326">
        <f t="shared" si="9"/>
        <v>42.43787785537497</v>
      </c>
      <c r="T67" s="331">
        <f t="shared" si="10"/>
      </c>
    </row>
    <row r="68" spans="9:20" ht="9" customHeight="1">
      <c r="I68" s="101">
        <f t="shared" si="6"/>
        <v>914.4000000000001</v>
      </c>
      <c r="J68" s="101">
        <v>3000</v>
      </c>
      <c r="K68" s="51">
        <f aca="true" t="shared" si="11" ref="K68:K100">(1-$O$103*J68)^4.25588</f>
        <v>0.9151171446249962</v>
      </c>
      <c r="L68" s="51">
        <f aca="true" t="shared" si="12" ref="L68:L100">$L$65*K68</f>
        <v>1.1210185021656203</v>
      </c>
      <c r="M68" s="52">
        <f>$T$19+Mission!$G$17*(K68-(1-K68)/7.55)*(1-Mission!$G$19)</f>
        <v>57.62934416983985</v>
      </c>
      <c r="N68" s="52">
        <f t="shared" si="7"/>
        <v>29.314015227282766</v>
      </c>
      <c r="O68" s="52">
        <f t="shared" si="8"/>
        <v>12.462131150671642</v>
      </c>
      <c r="P68" s="40">
        <f>1.6/(1+(1+4*$Q$103*'Climb hyb'!$T$15/(PI()*Polars!$G$17^2))^0.5)</f>
        <v>0.7344502975092464</v>
      </c>
      <c r="Q68" s="52">
        <f>O68/P68</f>
        <v>16.967970729856976</v>
      </c>
      <c r="S68" s="326">
        <f t="shared" si="9"/>
        <v>40.66137343998287</v>
      </c>
      <c r="T68" s="331">
        <f t="shared" si="10"/>
      </c>
    </row>
    <row r="69" spans="9:20" ht="9" customHeight="1">
      <c r="I69" s="101">
        <f t="shared" si="6"/>
        <v>1219.2</v>
      </c>
      <c r="J69" s="101">
        <v>4000</v>
      </c>
      <c r="K69" s="51">
        <f t="shared" si="11"/>
        <v>0.8880860986215449</v>
      </c>
      <c r="L69" s="51">
        <f t="shared" si="12"/>
        <v>1.0879054708113924</v>
      </c>
      <c r="M69" s="52">
        <f>$T$19+Mission!$G$17*(K69-(1-K69)/7.55)*(1-Mission!$G$19)</f>
        <v>56.138047720077815</v>
      </c>
      <c r="N69" s="52">
        <f t="shared" si="7"/>
        <v>29.75679266954958</v>
      </c>
      <c r="O69" s="52">
        <f t="shared" si="8"/>
        <v>12.650367068313948</v>
      </c>
      <c r="P69" s="40">
        <f>1.6/(1+(1+4*$Q$103*'Climb hyb'!$T$15/(PI()*Polars!$G$17^2))^0.5)</f>
        <v>0.7344502975092464</v>
      </c>
      <c r="Q69" s="52">
        <f aca="true" t="shared" si="13" ref="Q69:Q100">O69/P69</f>
        <v>17.22426570077696</v>
      </c>
      <c r="S69" s="326">
        <f t="shared" si="9"/>
        <v>38.913782019300854</v>
      </c>
      <c r="T69" s="331">
        <f t="shared" si="10"/>
      </c>
    </row>
    <row r="70" spans="9:20" ht="9" customHeight="1">
      <c r="I70" s="101">
        <f t="shared" si="6"/>
        <v>1524</v>
      </c>
      <c r="J70" s="101">
        <v>5000</v>
      </c>
      <c r="K70" s="51">
        <f t="shared" si="11"/>
        <v>0.8616701757945089</v>
      </c>
      <c r="L70" s="51">
        <f t="shared" si="12"/>
        <v>1.0555459653482735</v>
      </c>
      <c r="M70" s="52">
        <f>$T$19+Mission!$G$17*(K70-(1-K70)/7.55)*(1-Mission!$G$19)</f>
        <v>54.68068747126922</v>
      </c>
      <c r="N70" s="52">
        <f t="shared" si="7"/>
        <v>30.20947127766208</v>
      </c>
      <c r="O70" s="52">
        <f t="shared" si="8"/>
        <v>12.842812222608302</v>
      </c>
      <c r="P70" s="40">
        <f>1.6/(1+(1+4*$Q$103*'Climb hyb'!$T$15/(PI()*Polars!$G$17^2))^0.5)</f>
        <v>0.7344502975092464</v>
      </c>
      <c r="Q70" s="52">
        <f t="shared" si="13"/>
        <v>17.48629181057227</v>
      </c>
      <c r="S70" s="326">
        <f t="shared" si="9"/>
        <v>37.194395660696955</v>
      </c>
      <c r="T70" s="331">
        <f t="shared" si="10"/>
      </c>
    </row>
    <row r="71" spans="9:20" ht="9" customHeight="1">
      <c r="I71" s="101">
        <f t="shared" si="6"/>
        <v>1828.8000000000002</v>
      </c>
      <c r="J71" s="101">
        <v>6000</v>
      </c>
      <c r="K71" s="51">
        <f t="shared" si="11"/>
        <v>0.8358596090714525</v>
      </c>
      <c r="L71" s="51">
        <f t="shared" si="12"/>
        <v>1.0239280211125295</v>
      </c>
      <c r="M71" s="52">
        <f>$T$19+Mission!$G$17*(K71-(1-K71)/7.55)*(1-Mission!$G$19)</f>
        <v>53.25672457632518</v>
      </c>
      <c r="N71" s="52">
        <f t="shared" si="7"/>
        <v>30.672345341908837</v>
      </c>
      <c r="O71" s="52">
        <f t="shared" si="8"/>
        <v>13.039591723818319</v>
      </c>
      <c r="P71" s="40">
        <f>1.6/(1+(1+4*$Q$103*'Climb hyb'!$T$15/(PI()*Polars!$G$17^2))^0.5)</f>
        <v>0.7344502975092464</v>
      </c>
      <c r="Q71" s="52">
        <f t="shared" si="13"/>
        <v>17.754219404689064</v>
      </c>
      <c r="S71" s="326">
        <f t="shared" si="9"/>
        <v>35.502505171636116</v>
      </c>
      <c r="T71" s="331">
        <f t="shared" si="10"/>
      </c>
    </row>
    <row r="72" spans="9:20" ht="9" customHeight="1">
      <c r="I72" s="101">
        <f t="shared" si="6"/>
        <v>2133.6</v>
      </c>
      <c r="J72" s="101">
        <v>7000</v>
      </c>
      <c r="K72" s="51">
        <f t="shared" si="11"/>
        <v>0.8106447183312384</v>
      </c>
      <c r="L72" s="51">
        <f t="shared" si="12"/>
        <v>0.9930397799557671</v>
      </c>
      <c r="M72" s="52">
        <f>$T$19+Mission!$G$17*(K72-(1-K72)/7.55)*(1-Mission!$G$19)</f>
        <v>51.86562498523953</v>
      </c>
      <c r="N72" s="52">
        <f t="shared" si="7"/>
        <v>31.145720097466914</v>
      </c>
      <c r="O72" s="52">
        <f t="shared" si="8"/>
        <v>13.240835335157218</v>
      </c>
      <c r="P72" s="40">
        <f>1.6/(1+(1+4*$Q$103*'Climb hyb'!$T$15/(PI()*Polars!$G$17^2))^0.5)</f>
        <v>0.7344502975092464</v>
      </c>
      <c r="Q72" s="52">
        <f t="shared" si="13"/>
        <v>18.028225163855314</v>
      </c>
      <c r="S72" s="326">
        <f t="shared" si="9"/>
        <v>33.83739982138421</v>
      </c>
      <c r="T72" s="331">
        <f t="shared" si="10"/>
      </c>
    </row>
    <row r="73" spans="9:20" ht="9" customHeight="1">
      <c r="I73" s="101">
        <f t="shared" si="6"/>
        <v>2438.4</v>
      </c>
      <c r="J73" s="101">
        <v>8000</v>
      </c>
      <c r="K73" s="51">
        <f t="shared" si="11"/>
        <v>0.7860159102451815</v>
      </c>
      <c r="L73" s="51">
        <f t="shared" si="12"/>
        <v>0.9628694900503474</v>
      </c>
      <c r="M73" s="52">
        <f>$T$19+Mission!$G$17*(K73-(1-K73)/7.55)*(1-Mission!$G$19)</f>
        <v>50.506859436325236</v>
      </c>
      <c r="N73" s="52">
        <f t="shared" si="7"/>
        <v>31.629912214380788</v>
      </c>
      <c r="O73" s="52">
        <f t="shared" si="8"/>
        <v>13.446677681090302</v>
      </c>
      <c r="P73" s="40">
        <f>1.6/(1+(1+4*$Q$103*'Climb hyb'!$T$15/(PI()*Polars!$G$17^2))^0.5)</f>
        <v>0.7344502975092464</v>
      </c>
      <c r="Q73" s="52">
        <f t="shared" si="13"/>
        <v>18.308492387697637</v>
      </c>
      <c r="S73" s="326">
        <f t="shared" si="9"/>
        <v>32.1983670486276</v>
      </c>
      <c r="T73" s="331">
        <f t="shared" si="10"/>
      </c>
    </row>
    <row r="74" spans="9:20" ht="9" customHeight="1">
      <c r="I74" s="101">
        <f t="shared" si="6"/>
        <v>2743.2000000000003</v>
      </c>
      <c r="J74" s="101">
        <v>9000</v>
      </c>
      <c r="K74" s="51">
        <f t="shared" si="11"/>
        <v>0.7619636781173532</v>
      </c>
      <c r="L74" s="51">
        <f t="shared" si="12"/>
        <v>0.9334055056937578</v>
      </c>
      <c r="M74" s="52">
        <f>$T$19+Mission!$G$17*(K74-(1-K74)/7.55)*(1-Mission!$G$19)</f>
        <v>49.179903447404094</v>
      </c>
      <c r="N74" s="52">
        <f t="shared" si="7"/>
        <v>32.12525031324375</v>
      </c>
      <c r="O74" s="52">
        <f t="shared" si="8"/>
        <v>13.657258466564187</v>
      </c>
      <c r="P74" s="40">
        <f>1.6/(1+(1+4*$Q$103*'Climb hyb'!$T$15/(PI()*Polars!$G$17^2))^0.5)</f>
        <v>0.7344502975092464</v>
      </c>
      <c r="Q74" s="52">
        <f t="shared" si="13"/>
        <v>18.595211293235604</v>
      </c>
      <c r="S74" s="326">
        <f t="shared" si="9"/>
        <v>30.58469215416849</v>
      </c>
      <c r="T74" s="331">
        <f t="shared" si="10"/>
      </c>
    </row>
    <row r="75" spans="9:20" ht="9" customHeight="1">
      <c r="I75" s="101">
        <f t="shared" si="6"/>
        <v>3048</v>
      </c>
      <c r="J75" s="101">
        <v>10000</v>
      </c>
      <c r="K75" s="51">
        <f t="shared" si="11"/>
        <v>0.7384786017240254</v>
      </c>
      <c r="L75" s="51">
        <f t="shared" si="12"/>
        <v>0.9046362871119311</v>
      </c>
      <c r="M75" s="52">
        <f>$T$19+Mission!$G$17*(K75-(1-K75)/7.55)*(1-Mission!$G$19)</f>
        <v>47.884237306948854</v>
      </c>
      <c r="N75" s="52">
        <f t="shared" si="7"/>
        <v>32.632075508130534</v>
      </c>
      <c r="O75" s="52">
        <f t="shared" si="8"/>
        <v>13.872722707821229</v>
      </c>
      <c r="P75" s="40">
        <f>1.6/(1+(1+4*$Q$103*'Climb hyb'!$T$15/(PI()*Polars!$G$17^2))^0.5)</f>
        <v>0.7344502975092464</v>
      </c>
      <c r="Q75" s="52">
        <f t="shared" si="13"/>
        <v>18.888579329150012</v>
      </c>
      <c r="S75" s="326">
        <f t="shared" si="9"/>
        <v>28.995657977798842</v>
      </c>
      <c r="T75" s="331">
        <f t="shared" si="10"/>
      </c>
    </row>
    <row r="76" spans="9:20" ht="9" customHeight="1">
      <c r="I76" s="101">
        <f t="shared" si="6"/>
        <v>3352.8</v>
      </c>
      <c r="J76" s="101">
        <v>11000</v>
      </c>
      <c r="K76" s="51">
        <f t="shared" si="11"/>
        <v>0.7155513471522437</v>
      </c>
      <c r="L76" s="51">
        <f t="shared" si="12"/>
        <v>0.8765504002614986</v>
      </c>
      <c r="M76" s="52">
        <f>$T$19+Mission!$G$17*(K76-(1-K76)/7.55)*(1-Mission!$G$19)</f>
        <v>46.619346065177346</v>
      </c>
      <c r="N76" s="52">
        <f t="shared" si="7"/>
        <v>33.150741978435676</v>
      </c>
      <c r="O76" s="52">
        <f t="shared" si="8"/>
        <v>14.093220975502508</v>
      </c>
      <c r="P76" s="40">
        <f>1.6/(1+(1+4*$Q$103*'Climb hyb'!$T$15/(PI()*Polars!$G$17^2))^0.5)</f>
        <v>0.7344502975092464</v>
      </c>
      <c r="Q76" s="52">
        <f t="shared" si="13"/>
        <v>19.188801506782806</v>
      </c>
      <c r="S76" s="326">
        <f t="shared" si="9"/>
        <v>27.43054455839454</v>
      </c>
      <c r="T76" s="331">
        <f t="shared" si="10"/>
      </c>
    </row>
    <row r="77" spans="9:20" ht="9" customHeight="1">
      <c r="I77" s="101">
        <f t="shared" si="6"/>
        <v>3657.6000000000004</v>
      </c>
      <c r="J77" s="101">
        <v>12000</v>
      </c>
      <c r="K77" s="51">
        <f t="shared" si="11"/>
        <v>0.6931726666375141</v>
      </c>
      <c r="L77" s="51">
        <f t="shared" si="12"/>
        <v>0.8491365166309548</v>
      </c>
      <c r="M77" s="52">
        <f>$T$19+Mission!$G$17*(K77-(1-K77)/7.55)*(1-Mission!$G$19)</f>
        <v>45.3847195250977</v>
      </c>
      <c r="N77" s="52">
        <f t="shared" si="7"/>
        <v>33.681617571385615</v>
      </c>
      <c r="O77" s="52">
        <f t="shared" si="8"/>
        <v>14.31890965079102</v>
      </c>
      <c r="P77" s="40">
        <f>1.6/(1+(1+4*$Q$103*'Climb hyb'!$T$15/(PI()*Polars!$G$17^2))^0.5)</f>
        <v>0.7344502975092464</v>
      </c>
      <c r="Q77" s="52">
        <f t="shared" si="13"/>
        <v>19.496090748892033</v>
      </c>
      <c r="S77" s="326">
        <f t="shared" si="9"/>
        <v>25.888628776205667</v>
      </c>
      <c r="T77" s="331">
        <f t="shared" si="10"/>
      </c>
    </row>
    <row r="78" spans="9:20" ht="9" customHeight="1">
      <c r="I78" s="101">
        <f t="shared" si="6"/>
        <v>3962.4</v>
      </c>
      <c r="J78" s="101">
        <v>13000</v>
      </c>
      <c r="K78" s="51">
        <f t="shared" si="11"/>
        <v>0.6713333984006002</v>
      </c>
      <c r="L78" s="51">
        <f t="shared" si="12"/>
        <v>0.8223834130407354</v>
      </c>
      <c r="M78" s="52">
        <f>$T$19+Mission!$G$17*(K78-(1-K78)/7.55)*(1-Mission!$G$19)</f>
        <v>44.17985223350448</v>
      </c>
      <c r="N78" s="52">
        <f t="shared" si="7"/>
        <v>34.2250844371148</v>
      </c>
      <c r="O78" s="52">
        <f t="shared" si="8"/>
        <v>14.549951195398606</v>
      </c>
      <c r="P78" s="40">
        <f>1.6/(1+(1+4*$Q$103*'Climb hyb'!$T$15/(PI()*Polars!$G$17^2))^0.5)</f>
        <v>0.7344502975092464</v>
      </c>
      <c r="Q78" s="52">
        <f t="shared" si="13"/>
        <v>19.810668257255937</v>
      </c>
      <c r="S78" s="326">
        <f t="shared" si="9"/>
        <v>24.36918397624854</v>
      </c>
      <c r="T78" s="331">
        <f t="shared" si="10"/>
      </c>
    </row>
    <row r="79" spans="9:20" ht="9" customHeight="1">
      <c r="I79" s="101">
        <f t="shared" si="6"/>
        <v>4267.2</v>
      </c>
      <c r="J79" s="101">
        <v>14000</v>
      </c>
      <c r="K79" s="51">
        <f t="shared" si="11"/>
        <v>0.6500244664834116</v>
      </c>
      <c r="L79" s="51">
        <f t="shared" si="12"/>
        <v>0.7962799714421793</v>
      </c>
      <c r="M79" s="52">
        <f>$T$19+Mission!$G$17*(K79-(1-K79)/7.55)*(1-Mission!$G$19)</f>
        <v>43.00424347192467</v>
      </c>
      <c r="N79" s="52">
        <f t="shared" si="7"/>
        <v>34.78153969832822</v>
      </c>
      <c r="O79" s="52">
        <f t="shared" si="8"/>
        <v>14.786514436256466</v>
      </c>
      <c r="P79" s="40">
        <f>1.6/(1+(1+4*$Q$103*'Climb hyb'!$T$15/(PI()*Polars!$G$17^2))^0.5)</f>
        <v>0.7344502975092464</v>
      </c>
      <c r="Q79" s="52">
        <f t="shared" si="13"/>
        <v>20.13276390029689</v>
      </c>
      <c r="S79" s="326">
        <f t="shared" si="9"/>
        <v>22.871479571627777</v>
      </c>
      <c r="T79" s="331">
        <f t="shared" si="10"/>
      </c>
    </row>
    <row r="80" spans="9:20" ht="9" customHeight="1">
      <c r="I80" s="101">
        <f t="shared" si="6"/>
        <v>4572</v>
      </c>
      <c r="J80" s="101">
        <v>15000</v>
      </c>
      <c r="K80" s="51">
        <f t="shared" si="11"/>
        <v>0.6292368805839751</v>
      </c>
      <c r="L80" s="51">
        <f t="shared" si="12"/>
        <v>0.7708151787153695</v>
      </c>
      <c r="M80" s="52">
        <f>$T$19+Mission!$G$17*(K80-(1-K80)/7.55)*(1-Mission!$G$19)</f>
        <v>41.85739724751313</v>
      </c>
      <c r="N80" s="52">
        <f t="shared" si="7"/>
        <v>35.351396156714664</v>
      </c>
      <c r="O80" s="52">
        <f t="shared" si="8"/>
        <v>15.028774865829403</v>
      </c>
      <c r="P80" s="40">
        <f>1.6/(1+(1+4*$Q$103*'Climb hyb'!$T$15/(PI()*Polars!$G$17^2))^0.5)</f>
        <v>0.7344502975092464</v>
      </c>
      <c r="Q80" s="52">
        <f t="shared" si="13"/>
        <v>20.462616621978015</v>
      </c>
      <c r="S80" s="326">
        <f t="shared" si="9"/>
        <v>21.394780625535113</v>
      </c>
      <c r="T80" s="331">
        <f t="shared" si="10"/>
      </c>
    </row>
    <row r="81" spans="9:20" ht="9" customHeight="1">
      <c r="I81" s="101">
        <f t="shared" si="6"/>
        <v>4876.8</v>
      </c>
      <c r="J81" s="101">
        <v>16000</v>
      </c>
      <c r="K81" s="51">
        <f t="shared" si="11"/>
        <v>0.6089617358904771</v>
      </c>
      <c r="L81" s="51">
        <f t="shared" si="12"/>
        <v>0.7459781264658345</v>
      </c>
      <c r="M81" s="52">
        <f>$T$19+Mission!$G$17*(K81-(1-K81)/7.55)*(1-Mission!$G$19)</f>
        <v>40.73882228389668</v>
      </c>
      <c r="N81" s="52">
        <f t="shared" si="7"/>
        <v>35.93508303842824</v>
      </c>
      <c r="O81" s="52">
        <f t="shared" si="8"/>
        <v>15.276914959038857</v>
      </c>
      <c r="P81" s="40">
        <f>1.6/(1+(1+4*$Q$103*'Climb hyb'!$T$15/(PI()*Polars!$G$17^2))^0.5)</f>
        <v>0.7344502975092464</v>
      </c>
      <c r="Q81" s="52">
        <f t="shared" si="13"/>
        <v>20.800474873313707</v>
      </c>
      <c r="S81" s="326">
        <f t="shared" si="9"/>
        <v>19.938347410582974</v>
      </c>
      <c r="T81" s="331">
        <f t="shared" si="10"/>
      </c>
    </row>
    <row r="82" spans="9:20" ht="9" customHeight="1">
      <c r="I82" s="101">
        <f t="shared" si="6"/>
        <v>5181.6</v>
      </c>
      <c r="J82" s="101">
        <v>17000</v>
      </c>
      <c r="K82" s="51">
        <f t="shared" si="11"/>
        <v>0.5891902129143617</v>
      </c>
      <c r="L82" s="51">
        <f t="shared" si="12"/>
        <v>0.7217580108200932</v>
      </c>
      <c r="M82" s="52">
        <f>$T$19+Mission!$G$17*(K82-(1-K82)/7.55)*(1-Mission!$G$19)</f>
        <v>39.64803201196622</v>
      </c>
      <c r="N82" s="52">
        <f t="shared" si="7"/>
        <v>36.53304678112137</v>
      </c>
      <c r="O82" s="52">
        <f t="shared" si="8"/>
        <v>15.531124507850603</v>
      </c>
      <c r="P82" s="40">
        <f>1.6/(1+(1+4*$Q$103*'Climb hyb'!$T$15/(PI()*Polars!$G$17^2))^0.5)</f>
        <v>0.7344502975092464</v>
      </c>
      <c r="Q82" s="52">
        <f t="shared" si="13"/>
        <v>21.14659706793171</v>
      </c>
      <c r="S82" s="326">
        <f t="shared" si="9"/>
        <v>18.50143494403451</v>
      </c>
      <c r="T82" s="331">
        <f t="shared" si="10"/>
      </c>
    </row>
    <row r="83" spans="9:20" ht="9" customHeight="1">
      <c r="I83" s="101">
        <f t="shared" si="6"/>
        <v>5486.400000000001</v>
      </c>
      <c r="J83" s="101">
        <v>18000</v>
      </c>
      <c r="K83" s="51">
        <f t="shared" si="11"/>
        <v>0.569913577322476</v>
      </c>
      <c r="L83" s="51">
        <f t="shared" si="12"/>
        <v>0.6981441322200332</v>
      </c>
      <c r="M83" s="52">
        <f>$T$19+Mission!$G$17*(K83-(1-K83)/7.55)*(1-Mission!$G$19)</f>
        <v>38.58454456061621</v>
      </c>
      <c r="N83" s="52">
        <f t="shared" si="7"/>
        <v>37.1457518651909</v>
      </c>
      <c r="O83" s="52">
        <f t="shared" si="8"/>
        <v>15.791600974658577</v>
      </c>
      <c r="P83" s="40">
        <f>1.6/(1+(1+4*$Q$103*'Climb hyb'!$T$15/(PI()*Polars!$G$17^2))^0.5)</f>
        <v>0.7344502975092464</v>
      </c>
      <c r="Q83" s="52">
        <f t="shared" si="13"/>
        <v>21.501252063227284</v>
      </c>
      <c r="S83" s="326">
        <f t="shared" si="9"/>
        <v>17.083292497388925</v>
      </c>
      <c r="T83" s="331">
        <f t="shared" si="10"/>
      </c>
    </row>
    <row r="84" spans="9:20" ht="9" customHeight="1">
      <c r="I84" s="101">
        <f t="shared" si="6"/>
        <v>5791.200000000001</v>
      </c>
      <c r="J84" s="101">
        <v>19000</v>
      </c>
      <c r="K84" s="51">
        <f t="shared" si="11"/>
        <v>0.5511231797682469</v>
      </c>
      <c r="L84" s="51">
        <f t="shared" si="12"/>
        <v>0.6751258952161024</v>
      </c>
      <c r="M84" s="52">
        <f>$T$19+Mission!$G$17*(K84-(1-K84)/7.55)*(1-Mission!$G$19)</f>
        <v>37.547882747430684</v>
      </c>
      <c r="N84" s="52">
        <f t="shared" si="7"/>
        <v>37.77368169209196</v>
      </c>
      <c r="O84" s="52">
        <f t="shared" si="8"/>
        <v>16.058549865678344</v>
      </c>
      <c r="P84" s="40">
        <f>1.6/(1+(1+4*$Q$103*'Climb hyb'!$T$15/(PI()*Polars!$G$17^2))^0.5)</f>
        <v>0.7344502975092464</v>
      </c>
      <c r="Q84" s="52">
        <f t="shared" si="13"/>
        <v>21.864719668761758</v>
      </c>
      <c r="S84" s="326">
        <f t="shared" si="9"/>
        <v>15.683163078668926</v>
      </c>
      <c r="T84" s="331">
        <f t="shared" si="10"/>
      </c>
    </row>
    <row r="85" spans="9:20" ht="9" customHeight="1">
      <c r="I85" s="101">
        <f t="shared" si="6"/>
        <v>6096</v>
      </c>
      <c r="J85" s="101">
        <v>20000</v>
      </c>
      <c r="K85" s="51">
        <f t="shared" si="11"/>
        <v>0.5328104557218757</v>
      </c>
      <c r="L85" s="51">
        <f t="shared" si="12"/>
        <v>0.6526928082592978</v>
      </c>
      <c r="M85" s="52">
        <f>$T$19+Mission!$G$17*(K85-(1-K85)/7.55)*(1-Mission!$G$19)</f>
        <v>36.53757406931523</v>
      </c>
      <c r="N85" s="52">
        <f t="shared" si="7"/>
        <v>38.417339512782924</v>
      </c>
      <c r="O85" s="52">
        <f t="shared" si="8"/>
        <v>16.33218512565258</v>
      </c>
      <c r="P85" s="40">
        <f>1.6/(1+(1+4*$Q$103*'Climb hyb'!$T$15/(PI()*Polars!$G$17^2))^0.5)</f>
        <v>0.7344502975092464</v>
      </c>
      <c r="Q85" s="52">
        <f t="shared" si="13"/>
        <v>22.23729118367872</v>
      </c>
      <c r="S85" s="326">
        <f t="shared" si="9"/>
        <v>14.300282885636506</v>
      </c>
      <c r="T85" s="331">
        <f t="shared" si="10"/>
      </c>
    </row>
    <row r="86" spans="9:20" ht="9" customHeight="1">
      <c r="I86" s="101">
        <f t="shared" si="6"/>
        <v>6400.8</v>
      </c>
      <c r="J86" s="101">
        <v>21000</v>
      </c>
      <c r="K86" s="51">
        <f t="shared" si="11"/>
        <v>0.5149669252995409</v>
      </c>
      <c r="L86" s="51">
        <f t="shared" si="12"/>
        <v>0.6308344834919377</v>
      </c>
      <c r="M86" s="52">
        <f>$T$19+Mission!$G$17*(K86-(1-K86)/7.55)*(1-Mission!$G$19)</f>
        <v>35.55315069307403</v>
      </c>
      <c r="N86" s="52">
        <f t="shared" si="7"/>
        <v>39.077249409590706</v>
      </c>
      <c r="O86" s="52">
        <f t="shared" si="8"/>
        <v>16.61272955526694</v>
      </c>
      <c r="P86" s="40">
        <f>1.6/(1+(1+4*$Q$103*'Climb hyb'!$T$15/(PI()*Polars!$G$17^2))^0.5)</f>
        <v>0.7344502975092464</v>
      </c>
      <c r="Q86" s="52">
        <f t="shared" si="13"/>
        <v>22.61926996504184</v>
      </c>
      <c r="S86" s="326">
        <f t="shared" si="9"/>
        <v>12.93388072803219</v>
      </c>
      <c r="T86" s="331">
        <f t="shared" si="10"/>
      </c>
    </row>
    <row r="87" spans="9:20" ht="9" customHeight="1">
      <c r="I87" s="101">
        <f t="shared" si="6"/>
        <v>6705.6</v>
      </c>
      <c r="J87" s="101">
        <v>22000</v>
      </c>
      <c r="K87" s="51">
        <f t="shared" si="11"/>
        <v>0.4975841930915902</v>
      </c>
      <c r="L87" s="51">
        <f t="shared" si="12"/>
        <v>0.609540636537198</v>
      </c>
      <c r="M87" s="52">
        <f>$T$19+Mission!$G$17*(K87-(1-K87)/7.55)*(1-Mission!$G$19)</f>
        <v>34.59414944593135</v>
      </c>
      <c r="N87" s="52">
        <f t="shared" si="7"/>
        <v>39.75395733502947</v>
      </c>
      <c r="O87" s="52">
        <f t="shared" si="8"/>
        <v>16.90041525277821</v>
      </c>
      <c r="P87" s="40">
        <f>1.6/(1+(1+4*$Q$103*'Climb hyb'!$T$15/(PI()*Polars!$G$17^2))^0.5)</f>
        <v>0.7344502975092464</v>
      </c>
      <c r="Q87" s="52">
        <f t="shared" si="13"/>
        <v>23.010972029139168</v>
      </c>
      <c r="S87" s="326">
        <f t="shared" si="9"/>
        <v>11.583177416792182</v>
      </c>
      <c r="T87" s="331">
        <f t="shared" si="10"/>
      </c>
    </row>
    <row r="88" spans="9:20" ht="9" customHeight="1">
      <c r="I88" s="101">
        <f t="shared" si="6"/>
        <v>7010.400000000001</v>
      </c>
      <c r="J88" s="101">
        <v>23000</v>
      </c>
      <c r="K88" s="51">
        <f t="shared" si="11"/>
        <v>0.4806539479897123</v>
      </c>
      <c r="L88" s="51">
        <f t="shared" si="12"/>
        <v>0.5888010862873976</v>
      </c>
      <c r="M88" s="52">
        <f>$T$19+Mission!$G$17*(K88-(1-K88)/7.55)*(1-Mission!$G$19)</f>
        <v>33.66011180599659</v>
      </c>
      <c r="N88" s="52">
        <f t="shared" si="7"/>
        <v>40.44803221137088</v>
      </c>
      <c r="O88" s="52">
        <f t="shared" si="8"/>
        <v>17.195484081469495</v>
      </c>
      <c r="P88" s="40">
        <f>1.6/(1+(1+4*$Q$103*'Climb hyb'!$T$15/(PI()*Polars!$G$17^2))^0.5)</f>
        <v>0.7344502975092464</v>
      </c>
      <c r="Q88" s="52">
        <f t="shared" si="13"/>
        <v>23.41272668795265</v>
      </c>
      <c r="S88" s="326">
        <f t="shared" si="9"/>
        <v>10.247385118043944</v>
      </c>
      <c r="T88" s="331">
        <f t="shared" si="10"/>
      </c>
    </row>
    <row r="89" spans="9:20" ht="9" customHeight="1">
      <c r="I89" s="101">
        <f t="shared" si="6"/>
        <v>7315.200000000001</v>
      </c>
      <c r="J89" s="101">
        <v>24000</v>
      </c>
      <c r="K89" s="51">
        <f t="shared" si="11"/>
        <v>0.4641679630130702</v>
      </c>
      <c r="L89" s="51">
        <f t="shared" si="12"/>
        <v>0.568605754691011</v>
      </c>
      <c r="M89" s="52">
        <f>$T$19+Mission!$G$17*(K89-(1-K89)/7.55)*(1-Mission!$G$19)</f>
        <v>32.75058389267214</v>
      </c>
      <c r="N89" s="52">
        <f t="shared" si="7"/>
        <v>41.16006709505076</v>
      </c>
      <c r="O89" s="52">
        <f t="shared" si="8"/>
        <v>17.498188164669035</v>
      </c>
      <c r="P89" s="40">
        <f>1.6/(1+(1+4*$Q$103*'Climb hyb'!$T$15/(PI()*Polars!$G$17^2))^0.5)</f>
        <v>0.7344502975092464</v>
      </c>
      <c r="Q89" s="52">
        <f t="shared" si="13"/>
        <v>23.82487722315715</v>
      </c>
      <c r="S89" s="326">
        <f t="shared" si="9"/>
        <v>8.925706669514991</v>
      </c>
      <c r="T89" s="331">
        <f t="shared" si="10"/>
      </c>
    </row>
    <row r="90" spans="9:20" ht="9" customHeight="1">
      <c r="I90" s="101">
        <f t="shared" si="6"/>
        <v>7620</v>
      </c>
      <c r="J90" s="101">
        <v>25000</v>
      </c>
      <c r="K90" s="51">
        <f t="shared" si="11"/>
        <v>0.44811809513338463</v>
      </c>
      <c r="L90" s="51">
        <f t="shared" si="12"/>
        <v>0.5489446665383962</v>
      </c>
      <c r="M90" s="52">
        <f>$T$19+Mission!$G$17*(K90-(1-K90)/7.55)*(1-Mission!$G$19)</f>
        <v>31.865116457003218</v>
      </c>
      <c r="N90" s="52">
        <f t="shared" si="7"/>
        <v>41.89068041030767</v>
      </c>
      <c r="O90" s="52">
        <f t="shared" si="8"/>
        <v>17.808790410201215</v>
      </c>
      <c r="P90" s="40">
        <f>1.6/(1+(1+4*$Q$103*'Climb hyb'!$T$15/(PI()*Polars!$G$17^2))^0.5)</f>
        <v>0.7344502975092464</v>
      </c>
      <c r="Q90" s="52">
        <f t="shared" si="13"/>
        <v>24.24778160019332</v>
      </c>
      <c r="S90" s="326">
        <f t="shared" si="9"/>
        <v>7.617334856809897</v>
      </c>
      <c r="T90" s="331">
        <f t="shared" si="10"/>
      </c>
    </row>
    <row r="91" spans="9:20" ht="9" customHeight="1">
      <c r="I91" s="101">
        <f t="shared" si="6"/>
        <v>7924.8</v>
      </c>
      <c r="J91" s="101">
        <v>26000</v>
      </c>
      <c r="K91" s="51">
        <f t="shared" si="11"/>
        <v>0.43249628509895105</v>
      </c>
      <c r="L91" s="51">
        <f t="shared" si="12"/>
        <v>0.5298079492462151</v>
      </c>
      <c r="M91" s="52">
        <f>$T$19+Mission!$G$17*(K91-(1-K91)/7.55)*(1-Mission!$G$19)</f>
        <v>31.003264871968987</v>
      </c>
      <c r="N91" s="52">
        <f t="shared" si="7"/>
        <v>42.640517256786815</v>
      </c>
      <c r="O91" s="52">
        <f t="shared" si="8"/>
        <v>18.12756506628218</v>
      </c>
      <c r="P91" s="40">
        <f>1.6/(1+(1+4*$Q$103*'Climb hyb'!$T$15/(PI()*Polars!$G$17^2))^0.5)</f>
        <v>0.7344502975092464</v>
      </c>
      <c r="Q91" s="52">
        <f t="shared" si="13"/>
        <v>24.681813225154237</v>
      </c>
      <c r="S91" s="326">
        <f t="shared" si="9"/>
        <v>6.321451646814751</v>
      </c>
      <c r="T91" s="331">
        <f t="shared" si="10"/>
      </c>
    </row>
    <row r="92" spans="9:20" ht="9" customHeight="1">
      <c r="I92" s="101">
        <f t="shared" si="6"/>
        <v>8229.6</v>
      </c>
      <c r="J92" s="101">
        <v>27000</v>
      </c>
      <c r="K92" s="51">
        <f t="shared" si="11"/>
        <v>0.4172945572575738</v>
      </c>
      <c r="L92" s="51">
        <f t="shared" si="12"/>
        <v>0.511185832640528</v>
      </c>
      <c r="M92" s="52">
        <f>$T$19+Mission!$G$17*(K92-(1-K92)/7.55)*(1-Mission!$G$19)</f>
        <v>30.164589122713856</v>
      </c>
      <c r="N92" s="52">
        <f t="shared" si="7"/>
        <v>43.410250796209155</v>
      </c>
      <c r="O92" s="52">
        <f t="shared" si="8"/>
        <v>18.45479831102799</v>
      </c>
      <c r="P92" s="40">
        <f>1.6/(1+(1+4*$Q$103*'Climb hyb'!$T$15/(PI()*Polars!$G$17^2))^0.5)</f>
        <v>0.7344502975092464</v>
      </c>
      <c r="Q92" s="52">
        <f t="shared" si="13"/>
        <v>25.127361747437583</v>
      </c>
      <c r="S92" s="326">
        <f t="shared" si="9"/>
        <v>5.037227375276274</v>
      </c>
      <c r="T92" s="331">
        <f t="shared" si="10"/>
      </c>
    </row>
    <row r="93" spans="9:20" ht="9" customHeight="1">
      <c r="I93" s="101">
        <f t="shared" si="6"/>
        <v>8534.4</v>
      </c>
      <c r="J93" s="101">
        <v>28000</v>
      </c>
      <c r="K93" s="51">
        <f t="shared" si="11"/>
        <v>0.4025050193784052</v>
      </c>
      <c r="L93" s="51">
        <f t="shared" si="12"/>
        <v>0.49306864873854644</v>
      </c>
      <c r="M93" s="52">
        <f>$T$19+Mission!$G$17*(K93-(1-K93)/7.55)*(1-Mission!$G$19)</f>
        <v>29.348653796718366</v>
      </c>
      <c r="N93" s="52">
        <f t="shared" si="7"/>
        <v>44.20058372360343</v>
      </c>
      <c r="O93" s="52">
        <f t="shared" si="8"/>
        <v>18.790788877912696</v>
      </c>
      <c r="P93" s="40">
        <f>1.6/(1+(1+4*$Q$103*'Climb hyb'!$T$15/(PI()*Polars!$G$17^2))^0.5)</f>
        <v>0.7344502975092464</v>
      </c>
      <c r="Q93" s="52">
        <f t="shared" si="13"/>
        <v>25.58483391134596</v>
      </c>
      <c r="S93" s="326">
        <f t="shared" si="9"/>
        <v>3.7638198853724063</v>
      </c>
      <c r="T93" s="331">
        <f t="shared" si="10"/>
      </c>
    </row>
    <row r="94" spans="9:20" ht="9" customHeight="1">
      <c r="I94" s="101">
        <f t="shared" si="6"/>
        <v>8839.2</v>
      </c>
      <c r="J94" s="101">
        <v>29000</v>
      </c>
      <c r="K94" s="51">
        <f t="shared" si="11"/>
        <v>0.388119862472667</v>
      </c>
      <c r="L94" s="51">
        <f t="shared" si="12"/>
        <v>0.4754468315290171</v>
      </c>
      <c r="M94" s="52">
        <f>$T$19+Mission!$G$17*(K94-(1-K94)/7.55)*(1-Mission!$G$19)</f>
        <v>28.55502807390845</v>
      </c>
      <c r="N94" s="52">
        <f t="shared" si="7"/>
        <v>45.012249829032655</v>
      </c>
      <c r="O94" s="52">
        <f t="shared" si="8"/>
        <v>19.135848719697854</v>
      </c>
      <c r="P94" s="40">
        <f>1.6/(1+(1+4*$Q$103*'Climb hyb'!$T$15/(PI()*Polars!$G$17^2))^0.5)</f>
        <v>0.7344502975092464</v>
      </c>
      <c r="Q94" s="52">
        <f t="shared" si="13"/>
        <v>26.054654460068406</v>
      </c>
      <c r="S94" s="326">
        <f t="shared" si="9"/>
        <v>2.5003736138400434</v>
      </c>
      <c r="T94" s="331">
        <f t="shared" si="10"/>
      </c>
    </row>
    <row r="95" spans="9:20" ht="9" customHeight="1">
      <c r="I95" s="101">
        <f t="shared" si="6"/>
        <v>9144</v>
      </c>
      <c r="J95" s="101">
        <v>30000</v>
      </c>
      <c r="K95" s="51">
        <f t="shared" si="11"/>
        <v>0.37413136061324753</v>
      </c>
      <c r="L95" s="51">
        <f t="shared" si="12"/>
        <v>0.45831091675122826</v>
      </c>
      <c r="M95" s="52">
        <f>$T$19+Mission!$G$17*(K95-(1-K95)/7.55)*(1-Mission!$G$19)</f>
        <v>27.783285716702654</v>
      </c>
      <c r="N95" s="52">
        <f t="shared" si="7"/>
        <v>45.84601565621678</v>
      </c>
      <c r="O95" s="52">
        <f t="shared" si="8"/>
        <v>19.49030371355507</v>
      </c>
      <c r="P95" s="40">
        <f>1.6/(1+(1+4*$Q$103*'Climb hyb'!$T$15/(PI()*Polars!$G$17^2))^0.5)</f>
        <v>0.7344502975092464</v>
      </c>
      <c r="Q95" s="52">
        <f t="shared" si="13"/>
        <v>26.537267095748838</v>
      </c>
      <c r="S95" s="326">
        <f t="shared" si="9"/>
        <v>1.2460186209538158</v>
      </c>
      <c r="T95" s="331">
        <f t="shared" si="10"/>
      </c>
    </row>
    <row r="96" spans="9:20" ht="9" customHeight="1">
      <c r="I96" s="101">
        <f t="shared" si="6"/>
        <v>9448.800000000001</v>
      </c>
      <c r="J96" s="101">
        <v>31000</v>
      </c>
      <c r="K96" s="51">
        <f t="shared" si="11"/>
        <v>0.360531870753147</v>
      </c>
      <c r="L96" s="51">
        <f t="shared" si="12"/>
        <v>0.4416515416726051</v>
      </c>
      <c r="M96" s="52">
        <f>$T$19+Mission!$G$17*(K96-(1-K96)/7.55)*(1-Mission!$G$19)</f>
        <v>27.0330050599958</v>
      </c>
      <c r="N96" s="52">
        <f t="shared" si="7"/>
        <v>46.70268226496764</v>
      </c>
      <c r="O96" s="52">
        <f t="shared" si="8"/>
        <v>19.85449441032178</v>
      </c>
      <c r="P96" s="40">
        <f>1.6/(1+(1+4*$Q$103*'Climb hyb'!$T$15/(PI()*Polars!$G$17^2))^0.5)</f>
        <v>0.7344502975092464</v>
      </c>
      <c r="Q96" s="52">
        <f t="shared" si="13"/>
        <v>27.033135499644647</v>
      </c>
      <c r="S96" s="326">
        <f t="shared" si="9"/>
        <v>0.0001304396488457371</v>
      </c>
      <c r="T96" s="331">
        <f t="shared" si="10"/>
        <v>31000</v>
      </c>
    </row>
    <row r="97" spans="9:20" ht="9" customHeight="1">
      <c r="I97" s="101">
        <f t="shared" si="6"/>
        <v>9753.6</v>
      </c>
      <c r="J97" s="101">
        <v>32000</v>
      </c>
      <c r="K97" s="51">
        <f t="shared" si="11"/>
        <v>0.3473138325427618</v>
      </c>
      <c r="L97" s="51">
        <f t="shared" si="12"/>
        <v>0.42545944486488324</v>
      </c>
      <c r="M97" s="52">
        <f>$T$19+Mission!$G$17*(K97-(1-K97)/7.55)*(1-Mission!$G$19)</f>
        <v>26.303769001078606</v>
      </c>
      <c r="N97" s="52">
        <f t="shared" si="7"/>
        <v>47.58308710491041</v>
      </c>
      <c r="O97" s="52">
        <f t="shared" si="8"/>
        <v>20.228776831067805</v>
      </c>
      <c r="P97" s="40">
        <f>1.6/(1+(1+4*$Q$103*'Climb hyb'!$T$15/(PI()*Polars!$G$17^2))^0.5)</f>
        <v>0.7344502975092464</v>
      </c>
      <c r="Q97" s="52">
        <f t="shared" si="13"/>
        <v>27.542744416701844</v>
      </c>
      <c r="S97" s="326">
        <f t="shared" si="9"/>
        <v>1.238975415623237</v>
      </c>
      <c r="T97" s="331">
        <f t="shared" si="10"/>
      </c>
    </row>
    <row r="98" spans="9:20" ht="9" customHeight="1">
      <c r="I98" s="101">
        <f t="shared" si="6"/>
        <v>10058.4</v>
      </c>
      <c r="J98" s="101">
        <v>33000</v>
      </c>
      <c r="K98" s="51">
        <f t="shared" si="11"/>
        <v>0.33446976814598595</v>
      </c>
      <c r="L98" s="51">
        <f t="shared" si="12"/>
        <v>0.4097254659788328</v>
      </c>
      <c r="M98" s="52">
        <f>$T$19+Mission!$G$17*(K98-(1-K98)/7.55)*(1-Mission!$G$19)</f>
        <v>25.595164989492034</v>
      </c>
      <c r="N98" s="52">
        <f t="shared" si="7"/>
        <v>48.48810600857609</v>
      </c>
      <c r="O98" s="52">
        <f t="shared" si="8"/>
        <v>20.61352331440939</v>
      </c>
      <c r="P98" s="40">
        <f>1.6/(1+(1+4*$Q$103*'Climb hyb'!$T$15/(PI()*Polars!$G$17^2))^0.5)</f>
        <v>0.7344502975092464</v>
      </c>
      <c r="Q98" s="52">
        <f t="shared" si="13"/>
        <v>28.066600809226138</v>
      </c>
      <c r="S98" s="326">
        <f t="shared" si="9"/>
        <v>2.471435819734104</v>
      </c>
      <c r="T98" s="331">
        <f t="shared" si="10"/>
      </c>
    </row>
    <row r="99" spans="9:20" ht="9" customHeight="1">
      <c r="I99" s="101">
        <f t="shared" si="6"/>
        <v>10363.2</v>
      </c>
      <c r="J99" s="101">
        <v>34000</v>
      </c>
      <c r="K99" s="51">
        <f t="shared" si="11"/>
        <v>0.32199228205511327</v>
      </c>
      <c r="L99" s="51">
        <f t="shared" si="12"/>
        <v>0.3944405455175138</v>
      </c>
      <c r="M99" s="52">
        <f>$T$19+Mission!$G$17*(K99-(1-K99)/7.55)*(1-Mission!$G$19)</f>
        <v>24.906785016815515</v>
      </c>
      <c r="N99" s="52">
        <f t="shared" si="7"/>
        <v>49.41865531261512</v>
      </c>
      <c r="O99" s="52">
        <f t="shared" si="8"/>
        <v>21.00912341829101</v>
      </c>
      <c r="P99" s="40">
        <f>1.6/(1+(1+4*$Q$103*'Climb hyb'!$T$15/(PI()*Polars!$G$17^2))^0.5)</f>
        <v>0.7344502975092464</v>
      </c>
      <c r="Q99" s="52">
        <f t="shared" si="13"/>
        <v>28.6052350847152</v>
      </c>
      <c r="S99" s="326">
        <f t="shared" si="9"/>
        <v>3.6984500678996852</v>
      </c>
      <c r="T99" s="331">
        <f t="shared" si="10"/>
      </c>
    </row>
    <row r="100" spans="9:20" ht="9" customHeight="1">
      <c r="I100" s="101">
        <f t="shared" si="6"/>
        <v>10668</v>
      </c>
      <c r="J100" s="101">
        <v>35000</v>
      </c>
      <c r="K100" s="51">
        <f t="shared" si="11"/>
        <v>0.3098740609045218</v>
      </c>
      <c r="L100" s="51">
        <f t="shared" si="12"/>
        <v>0.37959572460803925</v>
      </c>
      <c r="M100" s="52">
        <f>$T$19+Mission!$G$17*(K100-(1-K100)/7.55)*(1-Mission!$G$19)</f>
        <v>24.238225606387935</v>
      </c>
      <c r="N100" s="52">
        <f t="shared" si="7"/>
        <v>50.37569411660874</v>
      </c>
      <c r="O100" s="52">
        <f t="shared" si="8"/>
        <v>21.415984880263313</v>
      </c>
      <c r="P100" s="40">
        <f>1.6/(1+(1+4*$Q$103*'Climb hyb'!$T$15/(PI()*Polars!$G$17^2))^0.5)</f>
        <v>0.7344502975092464</v>
      </c>
      <c r="Q100" s="52">
        <f t="shared" si="13"/>
        <v>29.159202403337165</v>
      </c>
      <c r="S100" s="327">
        <f t="shared" si="9"/>
        <v>4.92097679694923</v>
      </c>
      <c r="T100" s="333">
        <f t="shared" si="10"/>
      </c>
    </row>
    <row r="101" spans="10:16" ht="9" customHeight="1">
      <c r="J101" s="129"/>
      <c r="K101" s="129"/>
      <c r="L101" s="130"/>
      <c r="M101" s="130"/>
      <c r="N101" s="130"/>
      <c r="O101" s="131"/>
      <c r="P101" s="130"/>
    </row>
    <row r="102" spans="9:17" ht="22.5">
      <c r="I102" s="441" t="s">
        <v>108</v>
      </c>
      <c r="J102" s="442"/>
      <c r="K102" s="442"/>
      <c r="L102" s="442"/>
      <c r="M102" s="442"/>
      <c r="N102" s="443"/>
      <c r="O102" s="132" t="s">
        <v>254</v>
      </c>
      <c r="P102" s="123" t="s">
        <v>240</v>
      </c>
      <c r="Q102" s="123" t="s">
        <v>241</v>
      </c>
    </row>
    <row r="103" spans="9:17" ht="12.75">
      <c r="I103" s="444"/>
      <c r="J103" s="445"/>
      <c r="K103" s="445"/>
      <c r="L103" s="445"/>
      <c r="M103" s="445"/>
      <c r="N103" s="446"/>
      <c r="O103" s="133">
        <f>6.8756*10^-6</f>
        <v>6.8756E-06</v>
      </c>
      <c r="P103" s="124">
        <f>2*$T$14*9.81/($L$65*$N$65^2*$T$15)</f>
        <v>1.1999272304442252</v>
      </c>
      <c r="Q103" s="124">
        <f>0.0118+P103^2/(PI()*$T$17*$T$18)</f>
        <v>0.04720000000000002</v>
      </c>
    </row>
  </sheetData>
  <sheetProtection/>
  <mergeCells count="21">
    <mergeCell ref="A6:D6"/>
    <mergeCell ref="A1:G1"/>
    <mergeCell ref="A3:D3"/>
    <mergeCell ref="A4:D4"/>
    <mergeCell ref="A5:D5"/>
    <mergeCell ref="I102:N103"/>
    <mergeCell ref="A58:D58"/>
    <mergeCell ref="A59:D61"/>
    <mergeCell ref="E59:E61"/>
    <mergeCell ref="F59:F61"/>
    <mergeCell ref="G59:G61"/>
    <mergeCell ref="H59:H61"/>
    <mergeCell ref="H10:H11"/>
    <mergeCell ref="A7:D7"/>
    <mergeCell ref="A56:E56"/>
    <mergeCell ref="E10:E11"/>
    <mergeCell ref="F10:F11"/>
    <mergeCell ref="G10:G11"/>
    <mergeCell ref="A8:D8"/>
    <mergeCell ref="A9:D9"/>
    <mergeCell ref="A10:D11"/>
  </mergeCells>
  <conditionalFormatting sqref="Q14:Q49">
    <cfRule type="cellIs" priority="1" dxfId="0" operator="equal" stopIfTrue="1">
      <formula>MAX($Q$14:$Q$49)</formula>
    </cfRule>
  </conditionalFormatting>
  <printOptions/>
  <pageMargins left="0.787401575" right="0.787401575" top="0.984251969" bottom="0.984251969" header="0.4921259845" footer="0.4921259845"/>
  <pageSetup orientation="portrait" paperSize="9" scale="57" r:id="rId4"/>
  <colBreaks count="1" manualBreakCount="1">
    <brk id="18" max="65535" man="1"/>
  </colBreaks>
  <drawing r:id="rId3"/>
  <legacyDrawing r:id="rId2"/>
  <oleObjects>
    <oleObject progId="Equation.DSMT4" shapeId="623399" r:id="rId1"/>
  </oleObjects>
</worksheet>
</file>

<file path=xl/worksheets/sheet12.xml><?xml version="1.0" encoding="utf-8"?>
<worksheet xmlns="http://schemas.openxmlformats.org/spreadsheetml/2006/main" xmlns:r="http://schemas.openxmlformats.org/officeDocument/2006/relationships">
  <dimension ref="A1:L39"/>
  <sheetViews>
    <sheetView zoomScalePageLayoutView="0" workbookViewId="0" topLeftCell="A1">
      <selection activeCell="A3" sqref="A3"/>
    </sheetView>
  </sheetViews>
  <sheetFormatPr defaultColWidth="11.421875" defaultRowHeight="12.75"/>
  <cols>
    <col min="3" max="3" width="12.00390625" style="0" bestFit="1" customWidth="1"/>
  </cols>
  <sheetData>
    <row r="1" spans="1:8" ht="18">
      <c r="A1" s="409" t="s">
        <v>335</v>
      </c>
      <c r="B1" s="409"/>
      <c r="C1" s="409"/>
      <c r="D1" s="409"/>
      <c r="E1" s="409"/>
      <c r="F1" s="409"/>
      <c r="G1" s="409"/>
      <c r="H1" s="409"/>
    </row>
    <row r="2" spans="1:7" ht="12.75">
      <c r="A2" s="427" t="s">
        <v>345</v>
      </c>
      <c r="B2" s="427"/>
      <c r="C2" s="427"/>
      <c r="D2" s="427"/>
      <c r="E2" s="427"/>
      <c r="F2" s="427"/>
      <c r="G2" s="427"/>
    </row>
    <row r="5" spans="1:7" ht="12.75">
      <c r="A5" s="403" t="s">
        <v>298</v>
      </c>
      <c r="B5" s="403"/>
      <c r="C5" s="403"/>
      <c r="D5" s="403"/>
      <c r="E5" s="90" t="s">
        <v>0</v>
      </c>
      <c r="F5" s="90" t="s">
        <v>1</v>
      </c>
      <c r="G5" s="90" t="s">
        <v>2</v>
      </c>
    </row>
    <row r="6" spans="1:8" ht="12.75">
      <c r="A6" s="360" t="s">
        <v>329</v>
      </c>
      <c r="B6" s="360"/>
      <c r="C6" s="360"/>
      <c r="D6" s="360"/>
      <c r="E6" s="5" t="s">
        <v>326</v>
      </c>
      <c r="F6" s="5" t="s">
        <v>99</v>
      </c>
      <c r="G6" s="334">
        <f>MAX('Climb hyb'!Q14:Q49)</f>
        <v>6.6161817593207495</v>
      </c>
      <c r="H6" s="4" t="s">
        <v>11</v>
      </c>
    </row>
    <row r="7" spans="1:8" ht="12.75">
      <c r="A7" s="430" t="s">
        <v>327</v>
      </c>
      <c r="B7" s="430"/>
      <c r="C7" s="430"/>
      <c r="D7" s="430"/>
      <c r="E7" s="5" t="s">
        <v>324</v>
      </c>
      <c r="F7" s="5" t="s">
        <v>110</v>
      </c>
      <c r="G7" s="186">
        <f>MAX('Climb hyb'!T65:T100)</f>
        <v>31000</v>
      </c>
      <c r="H7" s="186">
        <f>G7*0.3048</f>
        <v>9448.800000000001</v>
      </c>
    </row>
    <row r="8" spans="1:8" ht="12.75">
      <c r="A8" s="430" t="s">
        <v>328</v>
      </c>
      <c r="B8" s="430"/>
      <c r="C8" s="430"/>
      <c r="D8" s="430"/>
      <c r="E8" s="5" t="s">
        <v>271</v>
      </c>
      <c r="F8" s="5" t="s">
        <v>110</v>
      </c>
      <c r="G8" s="335">
        <f>Mission!G7</f>
        <v>2500</v>
      </c>
      <c r="H8" s="335">
        <f>G8*0.3048</f>
        <v>762</v>
      </c>
    </row>
    <row r="9" spans="1:8" ht="12.75">
      <c r="A9" s="507" t="s">
        <v>330</v>
      </c>
      <c r="B9" s="508"/>
      <c r="C9" s="508"/>
      <c r="D9" s="509"/>
      <c r="E9" s="513" t="s">
        <v>349</v>
      </c>
      <c r="F9" s="5" t="s">
        <v>98</v>
      </c>
      <c r="G9" s="186">
        <f>G10/0.3048*60</f>
        <v>1197.36588862485</v>
      </c>
      <c r="H9" s="33"/>
    </row>
    <row r="10" spans="1:9" ht="12.75">
      <c r="A10" s="510"/>
      <c r="B10" s="511"/>
      <c r="C10" s="511"/>
      <c r="D10" s="512"/>
      <c r="E10" s="514"/>
      <c r="F10" s="10" t="s">
        <v>99</v>
      </c>
      <c r="G10" s="11">
        <f>G6*(1-(H8/H7))</f>
        <v>6.082618714214238</v>
      </c>
      <c r="H10" s="339"/>
      <c r="I10" s="112"/>
    </row>
    <row r="11" spans="1:10" ht="12.75">
      <c r="A11" s="515" t="s">
        <v>331</v>
      </c>
      <c r="B11" s="516"/>
      <c r="C11" s="516"/>
      <c r="D11" s="517"/>
      <c r="E11" s="389" t="s">
        <v>332</v>
      </c>
      <c r="F11" s="10" t="s">
        <v>333</v>
      </c>
      <c r="G11" s="186">
        <f>-H7/G6*LN(G10/G6)</f>
        <v>120.08203323309678</v>
      </c>
      <c r="J11" s="337"/>
    </row>
    <row r="12" spans="1:12" ht="12.75">
      <c r="A12" s="518"/>
      <c r="B12" s="519"/>
      <c r="C12" s="519"/>
      <c r="D12" s="520"/>
      <c r="E12" s="389"/>
      <c r="F12" s="10" t="s">
        <v>334</v>
      </c>
      <c r="G12" s="338">
        <f>G11/(24*3600)</f>
        <v>0.0013898383476052868</v>
      </c>
      <c r="H12" s="340"/>
      <c r="I12" s="112"/>
      <c r="J12" s="112"/>
      <c r="K12" s="112"/>
      <c r="L12" s="112"/>
    </row>
    <row r="16" spans="2:7" ht="12.75">
      <c r="B16" s="28" t="s">
        <v>346</v>
      </c>
      <c r="C16" s="214">
        <f>Mission!G17</f>
        <v>97.43432142395251</v>
      </c>
      <c r="D16" s="28"/>
      <c r="G16" s="336"/>
    </row>
    <row r="17" spans="2:4" ht="12.75">
      <c r="B17" s="28" t="s">
        <v>347</v>
      </c>
      <c r="C17" s="214">
        <f>C16*(C18-(1-C18)/7.55)</f>
        <v>89.5854751018057</v>
      </c>
      <c r="D17" s="28"/>
    </row>
    <row r="18" spans="2:4" ht="12.75">
      <c r="B18" s="28" t="s">
        <v>348</v>
      </c>
      <c r="C18" s="341">
        <f>(1-C19*G8)^4.25588</f>
        <v>0.9288664148426607</v>
      </c>
      <c r="D18" s="28"/>
    </row>
    <row r="19" spans="2:4" ht="12.75">
      <c r="B19" s="28" t="s">
        <v>338</v>
      </c>
      <c r="C19" s="342">
        <f>6.8756*10^-6</f>
        <v>6.8756E-06</v>
      </c>
      <c r="D19" s="28"/>
    </row>
    <row r="20" spans="2:4" ht="12.75">
      <c r="B20" s="28" t="s">
        <v>339</v>
      </c>
      <c r="C20" s="343">
        <f>Mission!L19*'Fuel Climb'!C16*1000</f>
        <v>0.013032595163944225</v>
      </c>
      <c r="D20" s="28" t="s">
        <v>342</v>
      </c>
    </row>
    <row r="21" spans="2:4" ht="12.75">
      <c r="B21" s="28" t="s">
        <v>340</v>
      </c>
      <c r="C21" s="343">
        <f>Mission!L19*'Fuel Climb'!C17*1000</f>
        <v>0.01198275117544383</v>
      </c>
      <c r="D21" s="28" t="s">
        <v>342</v>
      </c>
    </row>
    <row r="22" spans="2:4" ht="12.75">
      <c r="B22" s="28" t="s">
        <v>341</v>
      </c>
      <c r="C22" s="343">
        <f>(C20+C21)/2</f>
        <v>0.012507673169694027</v>
      </c>
      <c r="D22" s="28" t="s">
        <v>342</v>
      </c>
    </row>
    <row r="23" spans="2:4" ht="12.75">
      <c r="B23" s="28" t="s">
        <v>343</v>
      </c>
      <c r="C23" s="345">
        <f>C22*G11</f>
        <v>1.501946825231911</v>
      </c>
      <c r="D23" s="28" t="s">
        <v>128</v>
      </c>
    </row>
    <row r="24" spans="2:4" ht="12.75">
      <c r="B24" s="33" t="s">
        <v>344</v>
      </c>
      <c r="C24" s="344">
        <f>C23/Mission!L20</f>
        <v>2.0860372572665433</v>
      </c>
      <c r="D24" s="33" t="s">
        <v>127</v>
      </c>
    </row>
    <row r="28" ht="12.75">
      <c r="A28" t="s">
        <v>355</v>
      </c>
    </row>
    <row r="30" spans="1:7" ht="12.75">
      <c r="A30" s="403" t="s">
        <v>298</v>
      </c>
      <c r="B30" s="403"/>
      <c r="C30" s="403"/>
      <c r="D30" s="403"/>
      <c r="E30" s="90" t="s">
        <v>0</v>
      </c>
      <c r="F30" s="90" t="s">
        <v>1</v>
      </c>
      <c r="G30" s="90" t="s">
        <v>2</v>
      </c>
    </row>
    <row r="31" spans="1:7" ht="12.75">
      <c r="A31" s="360" t="s">
        <v>356</v>
      </c>
      <c r="B31" s="360"/>
      <c r="C31" s="360"/>
      <c r="D31" s="360"/>
      <c r="E31" s="5" t="s">
        <v>361</v>
      </c>
      <c r="F31" s="5" t="s">
        <v>358</v>
      </c>
      <c r="G31" s="334">
        <v>0.6</v>
      </c>
    </row>
    <row r="32" spans="1:8" ht="12.75">
      <c r="A32" s="360" t="s">
        <v>359</v>
      </c>
      <c r="B32" s="360"/>
      <c r="C32" s="360"/>
      <c r="D32" s="360"/>
      <c r="E32" s="5" t="s">
        <v>362</v>
      </c>
      <c r="F32" s="5" t="s">
        <v>358</v>
      </c>
      <c r="G32" s="356">
        <f>0.6*0.2</f>
        <v>0.12</v>
      </c>
      <c r="H32" s="126"/>
    </row>
    <row r="33" spans="1:7" ht="12.75">
      <c r="A33" s="360" t="s">
        <v>363</v>
      </c>
      <c r="B33" s="360"/>
      <c r="C33" s="360"/>
      <c r="D33" s="360"/>
      <c r="E33" s="5" t="s">
        <v>212</v>
      </c>
      <c r="F33" s="5" t="s">
        <v>213</v>
      </c>
      <c r="G33" s="334">
        <f>(Mission!K78+Mission!K64*Mission!G19)/2*Mission!G9</f>
        <v>33.83797326766615</v>
      </c>
    </row>
    <row r="34" spans="1:7" ht="12.75">
      <c r="A34" s="360" t="s">
        <v>364</v>
      </c>
      <c r="B34" s="360"/>
      <c r="C34" s="360"/>
      <c r="D34" s="360"/>
      <c r="E34" s="5" t="s">
        <v>365</v>
      </c>
      <c r="F34" s="5" t="s">
        <v>128</v>
      </c>
      <c r="G34" s="95">
        <f>G33*G32</f>
        <v>4.060556792119938</v>
      </c>
    </row>
    <row r="35" spans="1:8" ht="12.75">
      <c r="A35" s="360" t="s">
        <v>366</v>
      </c>
      <c r="B35" s="360"/>
      <c r="C35" s="360"/>
      <c r="D35" s="360"/>
      <c r="E35" s="5" t="s">
        <v>367</v>
      </c>
      <c r="F35" s="5" t="s">
        <v>368</v>
      </c>
      <c r="G35" s="357">
        <v>0.189</v>
      </c>
      <c r="H35" s="126"/>
    </row>
    <row r="36" spans="1:7" ht="12.75">
      <c r="A36" s="360" t="s">
        <v>369</v>
      </c>
      <c r="B36" s="360"/>
      <c r="C36" s="360"/>
      <c r="D36" s="360"/>
      <c r="E36" s="5" t="s">
        <v>370</v>
      </c>
      <c r="F36" s="5" t="s">
        <v>131</v>
      </c>
      <c r="G36" s="95">
        <f>G33*G35</f>
        <v>6.395376947588902</v>
      </c>
    </row>
    <row r="37" spans="1:8" ht="12.75">
      <c r="A37" s="32"/>
      <c r="B37" s="32"/>
      <c r="C37" s="32"/>
      <c r="D37" s="32"/>
      <c r="E37" s="33"/>
      <c r="F37" s="33"/>
      <c r="G37" s="84"/>
      <c r="H37" s="324"/>
    </row>
    <row r="38" spans="1:8" ht="12.75">
      <c r="A38" s="32"/>
      <c r="B38" s="32"/>
      <c r="C38" s="32"/>
      <c r="D38" s="32"/>
      <c r="E38" s="33"/>
      <c r="F38" s="33"/>
      <c r="G38" s="84"/>
      <c r="H38" s="324"/>
    </row>
    <row r="39" spans="1:8" ht="12.75">
      <c r="A39" s="32"/>
      <c r="B39" s="32"/>
      <c r="C39" s="32"/>
      <c r="D39" s="32"/>
      <c r="E39" s="33"/>
      <c r="F39" s="33"/>
      <c r="G39" s="84"/>
      <c r="H39" s="324"/>
    </row>
  </sheetData>
  <sheetProtection/>
  <mergeCells count="17">
    <mergeCell ref="A30:D30"/>
    <mergeCell ref="A1:H1"/>
    <mergeCell ref="A5:D5"/>
    <mergeCell ref="A6:D6"/>
    <mergeCell ref="A7:D7"/>
    <mergeCell ref="E11:E12"/>
    <mergeCell ref="A9:D10"/>
    <mergeCell ref="E9:E10"/>
    <mergeCell ref="A2:G2"/>
    <mergeCell ref="A8:D8"/>
    <mergeCell ref="A11:D12"/>
    <mergeCell ref="A33:D33"/>
    <mergeCell ref="A34:D34"/>
    <mergeCell ref="A35:D35"/>
    <mergeCell ref="A36:D36"/>
    <mergeCell ref="A31:D31"/>
    <mergeCell ref="A32:D32"/>
  </mergeCells>
  <printOptions/>
  <pageMargins left="0.787401575" right="0.787401575" top="0.984251969" bottom="0.984251969" header="0.4921259845" footer="0.4921259845"/>
  <pageSetup orientation="portrait" paperSize="9" scale="50" r:id="rId5"/>
  <drawing r:id="rId4"/>
  <legacyDrawing r:id="rId3"/>
  <oleObjects>
    <oleObject progId="Equation.DSMT4" shapeId="85473" r:id="rId1"/>
    <oleObject progId="Equation.DSMT4" shapeId="208454" r:id="rId2"/>
  </oleObjects>
</worksheet>
</file>

<file path=xl/worksheets/sheet2.xml><?xml version="1.0" encoding="utf-8"?>
<worksheet xmlns="http://schemas.openxmlformats.org/spreadsheetml/2006/main" xmlns:r="http://schemas.openxmlformats.org/officeDocument/2006/relationships">
  <dimension ref="A1:S121"/>
  <sheetViews>
    <sheetView zoomScale="95" zoomScaleNormal="95" zoomScalePageLayoutView="0" workbookViewId="0" topLeftCell="A1">
      <selection activeCell="A2" sqref="A2"/>
    </sheetView>
  </sheetViews>
  <sheetFormatPr defaultColWidth="11.421875" defaultRowHeight="12.75"/>
  <cols>
    <col min="1" max="6" width="11.421875" style="3" customWidth="1"/>
    <col min="7" max="7" width="13.28125" style="3" bestFit="1" customWidth="1"/>
    <col min="8" max="8" width="11.57421875" style="3" bestFit="1" customWidth="1"/>
    <col min="9" max="16" width="11.421875" style="3" customWidth="1"/>
    <col min="17" max="17" width="13.28125" style="3" bestFit="1" customWidth="1"/>
    <col min="18" max="18" width="11.57421875" style="3" bestFit="1" customWidth="1"/>
    <col min="19" max="16384" width="11.421875" style="3" customWidth="1"/>
  </cols>
  <sheetData>
    <row r="1" spans="1:7" ht="18">
      <c r="A1" s="385" t="s">
        <v>176</v>
      </c>
      <c r="B1" s="385"/>
      <c r="C1" s="385"/>
      <c r="D1" s="385"/>
      <c r="E1" s="385"/>
      <c r="F1" s="385"/>
      <c r="G1" s="385"/>
    </row>
    <row r="3" spans="1:7" ht="12.75">
      <c r="A3" s="361" t="s">
        <v>298</v>
      </c>
      <c r="B3" s="361"/>
      <c r="C3" s="361"/>
      <c r="D3" s="361"/>
      <c r="E3" s="4" t="s">
        <v>0</v>
      </c>
      <c r="F3" s="4" t="s">
        <v>1</v>
      </c>
      <c r="G3" s="4" t="s">
        <v>2</v>
      </c>
    </row>
    <row r="4" spans="1:7" ht="12.75">
      <c r="A4" s="360" t="s">
        <v>50</v>
      </c>
      <c r="B4" s="360"/>
      <c r="C4" s="360"/>
      <c r="D4" s="360"/>
      <c r="E4" s="5" t="s">
        <v>51</v>
      </c>
      <c r="F4" s="5" t="s">
        <v>125</v>
      </c>
      <c r="G4" s="24">
        <v>17</v>
      </c>
    </row>
    <row r="5" spans="1:10" ht="12.75">
      <c r="A5" s="360" t="s">
        <v>52</v>
      </c>
      <c r="B5" s="360"/>
      <c r="C5" s="360"/>
      <c r="D5" s="360"/>
      <c r="E5" s="5" t="s">
        <v>295</v>
      </c>
      <c r="F5" s="5" t="s">
        <v>99</v>
      </c>
      <c r="G5" s="24">
        <v>49.9</v>
      </c>
      <c r="J5"/>
    </row>
    <row r="6" spans="1:7" ht="12.75">
      <c r="A6" s="360" t="s">
        <v>53</v>
      </c>
      <c r="B6" s="360"/>
      <c r="C6" s="360"/>
      <c r="D6" s="360"/>
      <c r="E6" s="5" t="s">
        <v>54</v>
      </c>
      <c r="F6" s="5" t="s">
        <v>111</v>
      </c>
      <c r="G6" s="24">
        <v>1.225</v>
      </c>
    </row>
    <row r="7" spans="1:15" ht="12.75">
      <c r="A7" s="388" t="s">
        <v>115</v>
      </c>
      <c r="B7" s="388"/>
      <c r="C7" s="388"/>
      <c r="D7" s="388"/>
      <c r="E7" s="389" t="s">
        <v>199</v>
      </c>
      <c r="F7" s="389" t="s">
        <v>236</v>
      </c>
      <c r="G7" s="390">
        <v>0.72</v>
      </c>
      <c r="K7" s="61"/>
      <c r="L7" s="61"/>
      <c r="M7" s="61"/>
      <c r="N7" s="61"/>
      <c r="O7" s="61"/>
    </row>
    <row r="8" spans="1:15" ht="12.75">
      <c r="A8" s="388"/>
      <c r="B8" s="388"/>
      <c r="C8" s="388"/>
      <c r="D8" s="388"/>
      <c r="E8" s="389"/>
      <c r="F8" s="389"/>
      <c r="G8" s="390"/>
      <c r="K8" s="62"/>
      <c r="L8" s="62"/>
      <c r="M8" s="62"/>
      <c r="N8" s="63"/>
      <c r="O8" s="64"/>
    </row>
    <row r="9" spans="1:19" ht="12.75">
      <c r="A9" s="391" t="s">
        <v>55</v>
      </c>
      <c r="B9" s="391"/>
      <c r="C9" s="391"/>
      <c r="D9" s="391"/>
      <c r="E9" s="5" t="s">
        <v>11</v>
      </c>
      <c r="F9" s="5" t="s">
        <v>128</v>
      </c>
      <c r="G9" s="24">
        <v>850</v>
      </c>
      <c r="H9" s="41"/>
      <c r="I9" s="65"/>
      <c r="J9" s="65"/>
      <c r="K9" s="65"/>
      <c r="L9" s="65"/>
      <c r="M9" s="66"/>
      <c r="N9" s="66"/>
      <c r="O9" s="66"/>
      <c r="P9" s="66"/>
      <c r="Q9" s="66"/>
      <c r="R9" s="66"/>
      <c r="S9" s="66"/>
    </row>
    <row r="10" spans="1:19" ht="12.75">
      <c r="A10" s="398" t="s">
        <v>56</v>
      </c>
      <c r="B10" s="399"/>
      <c r="C10" s="399"/>
      <c r="D10" s="400"/>
      <c r="E10" s="67" t="s">
        <v>39</v>
      </c>
      <c r="F10" s="67"/>
      <c r="G10" s="68">
        <f>2*$G$9*9.81/($G$6*$G$5^2*Polars!G13)</f>
        <v>0.2923742644810891</v>
      </c>
      <c r="H10" s="14"/>
      <c r="I10" s="65"/>
      <c r="J10" s="65"/>
      <c r="K10" s="65"/>
      <c r="L10" s="65"/>
      <c r="M10" s="65"/>
      <c r="N10" s="65"/>
      <c r="O10" s="65"/>
      <c r="P10" s="65"/>
      <c r="Q10" s="66"/>
      <c r="R10" s="66"/>
      <c r="S10" s="66"/>
    </row>
    <row r="11" spans="1:19" ht="12.75">
      <c r="A11" s="395" t="s">
        <v>57</v>
      </c>
      <c r="B11" s="396"/>
      <c r="C11" s="396"/>
      <c r="D11" s="397"/>
      <c r="E11" s="69" t="s">
        <v>40</v>
      </c>
      <c r="F11" s="69"/>
      <c r="G11" s="70">
        <f>Polars!G19+$G$10^2/(PI()*Polars!G24*Polars!G28)</f>
        <v>0.0139017048597032</v>
      </c>
      <c r="H11" s="14"/>
      <c r="I11" s="65"/>
      <c r="J11" s="71"/>
      <c r="K11" s="72"/>
      <c r="L11" s="72"/>
      <c r="M11" s="72"/>
      <c r="N11" s="72"/>
      <c r="O11" s="72"/>
      <c r="P11" s="72"/>
      <c r="Q11" s="72"/>
      <c r="R11" s="72"/>
      <c r="S11" s="66"/>
    </row>
    <row r="12" spans="1:19" ht="12.75">
      <c r="A12" s="392" t="s">
        <v>58</v>
      </c>
      <c r="B12" s="393"/>
      <c r="C12" s="393"/>
      <c r="D12" s="394"/>
      <c r="E12" s="73" t="s">
        <v>42</v>
      </c>
      <c r="F12" s="73"/>
      <c r="G12" s="74">
        <f>$G$10/$G$11</f>
        <v>21.031540191059076</v>
      </c>
      <c r="H12" s="14"/>
      <c r="I12" s="65"/>
      <c r="J12" s="71"/>
      <c r="K12" s="71"/>
      <c r="L12" s="71"/>
      <c r="M12"/>
      <c r="N12" s="71"/>
      <c r="O12" s="71"/>
      <c r="P12" s="71"/>
      <c r="Q12" s="72"/>
      <c r="R12" s="72"/>
      <c r="S12" s="66"/>
    </row>
    <row r="13" spans="1:19" ht="12.75">
      <c r="A13" s="401" t="s">
        <v>116</v>
      </c>
      <c r="B13" s="401"/>
      <c r="C13" s="401"/>
      <c r="D13" s="401"/>
      <c r="E13" s="386" t="s">
        <v>59</v>
      </c>
      <c r="F13" s="386"/>
      <c r="G13" s="387">
        <f>1.6/(1+(1+4*$G$11*Polars!$G$13/(Polars!$G$17^2*PI()))^0.5)</f>
        <v>0.7783186253154502</v>
      </c>
      <c r="H13" s="41"/>
      <c r="I13" s="65"/>
      <c r="J13" s="75"/>
      <c r="K13" s="76"/>
      <c r="L13" s="75"/>
      <c r="M13" s="75"/>
      <c r="N13" s="75"/>
      <c r="O13" s="77"/>
      <c r="P13" s="78"/>
      <c r="Q13" s="72"/>
      <c r="R13" s="72"/>
      <c r="S13" s="66"/>
    </row>
    <row r="14" spans="1:19" ht="12.75">
      <c r="A14" s="401"/>
      <c r="B14" s="401"/>
      <c r="C14" s="401"/>
      <c r="D14" s="401"/>
      <c r="E14" s="386"/>
      <c r="F14" s="386"/>
      <c r="G14" s="387"/>
      <c r="H14" s="12"/>
      <c r="I14" s="79"/>
      <c r="J14" s="72"/>
      <c r="K14" s="72"/>
      <c r="L14" s="72"/>
      <c r="M14" s="72"/>
      <c r="N14" s="72"/>
      <c r="O14" s="72"/>
      <c r="P14" s="72"/>
      <c r="Q14" s="72"/>
      <c r="R14" s="72"/>
      <c r="S14" s="66"/>
    </row>
    <row r="15" spans="1:19" ht="12.75">
      <c r="A15" s="360" t="s">
        <v>60</v>
      </c>
      <c r="B15" s="360"/>
      <c r="C15" s="360"/>
      <c r="D15" s="360"/>
      <c r="E15" s="5" t="s">
        <v>61</v>
      </c>
      <c r="F15" s="5" t="s">
        <v>237</v>
      </c>
      <c r="G15" s="80">
        <f>$G$4*$G$7*$G$13*$G$12/($G$9*9.81*$G$5*3600)</f>
        <v>1.3375774545847448E-07</v>
      </c>
      <c r="H15" s="12"/>
      <c r="I15" s="79"/>
      <c r="J15" s="13"/>
      <c r="K15" s="13"/>
      <c r="M15" s="72"/>
      <c r="N15" s="72"/>
      <c r="O15" s="72"/>
      <c r="P15" s="72"/>
      <c r="Q15" s="72"/>
      <c r="R15" s="72"/>
      <c r="S15" s="66"/>
    </row>
    <row r="16" spans="9:19" ht="12.75">
      <c r="I16" s="66"/>
      <c r="M16" s="72"/>
      <c r="N16" s="72"/>
      <c r="O16" s="72"/>
      <c r="P16" s="72"/>
      <c r="Q16" s="72"/>
      <c r="R16" s="72"/>
      <c r="S16" s="66"/>
    </row>
    <row r="17" spans="9:19" ht="12.75">
      <c r="I17" s="66"/>
      <c r="M17" s="72"/>
      <c r="N17" s="72"/>
      <c r="O17" s="72"/>
      <c r="P17" s="72"/>
      <c r="Q17" s="72"/>
      <c r="R17" s="72"/>
      <c r="S17" s="66"/>
    </row>
    <row r="18" spans="9:19" ht="12.75">
      <c r="I18" s="66"/>
      <c r="J18" s="72"/>
      <c r="K18" s="72"/>
      <c r="L18" s="72"/>
      <c r="M18" s="72"/>
      <c r="N18" s="72"/>
      <c r="O18" s="72"/>
      <c r="P18" s="72"/>
      <c r="Q18" s="72"/>
      <c r="R18" s="72"/>
      <c r="S18" s="66"/>
    </row>
    <row r="19" spans="1:19" ht="18">
      <c r="A19" s="359" t="s">
        <v>137</v>
      </c>
      <c r="B19" s="359"/>
      <c r="C19" s="359"/>
      <c r="D19" s="359"/>
      <c r="E19" s="359"/>
      <c r="F19" s="359"/>
      <c r="G19" s="359"/>
      <c r="I19" s="66"/>
      <c r="J19" s="71"/>
      <c r="K19" s="72"/>
      <c r="L19" s="72"/>
      <c r="M19" s="72"/>
      <c r="N19" s="72"/>
      <c r="O19" s="72"/>
      <c r="P19" s="72"/>
      <c r="Q19" s="72"/>
      <c r="R19" s="72"/>
      <c r="S19" s="66"/>
    </row>
    <row r="20" spans="9:19" ht="12.75">
      <c r="I20" s="66"/>
      <c r="J20" s="71"/>
      <c r="K20" s="71"/>
      <c r="L20" s="72"/>
      <c r="M20" s="72"/>
      <c r="N20" s="72"/>
      <c r="O20" s="72"/>
      <c r="P20" s="72"/>
      <c r="Q20" s="72"/>
      <c r="R20" s="72"/>
      <c r="S20" s="66"/>
    </row>
    <row r="21" spans="1:19" ht="12.75">
      <c r="A21" s="361" t="s">
        <v>298</v>
      </c>
      <c r="B21" s="361"/>
      <c r="C21" s="361"/>
      <c r="D21" s="361"/>
      <c r="E21" s="4" t="s">
        <v>0</v>
      </c>
      <c r="F21" s="4" t="s">
        <v>1</v>
      </c>
      <c r="G21" s="4" t="s">
        <v>2</v>
      </c>
      <c r="I21" s="66"/>
      <c r="J21" s="75"/>
      <c r="K21" s="75"/>
      <c r="L21" s="72"/>
      <c r="M21" s="72"/>
      <c r="N21" s="72"/>
      <c r="O21" s="72"/>
      <c r="P21" s="72"/>
      <c r="Q21" s="72"/>
      <c r="R21" s="72"/>
      <c r="S21" s="66"/>
    </row>
    <row r="22" spans="1:19" ht="12.75">
      <c r="A22" s="360" t="s">
        <v>62</v>
      </c>
      <c r="B22" s="360"/>
      <c r="C22" s="360"/>
      <c r="D22" s="360"/>
      <c r="E22" s="5" t="s">
        <v>296</v>
      </c>
      <c r="F22" s="5" t="s">
        <v>127</v>
      </c>
      <c r="G22" s="24">
        <v>88</v>
      </c>
      <c r="I22" s="66"/>
      <c r="J22" s="71"/>
      <c r="K22" s="71"/>
      <c r="L22" s="71"/>
      <c r="M22" s="71"/>
      <c r="N22" s="71"/>
      <c r="O22" s="71"/>
      <c r="P22" s="71"/>
      <c r="Q22" s="71"/>
      <c r="R22" s="71"/>
      <c r="S22" s="66"/>
    </row>
    <row r="23" spans="1:19" ht="12.75">
      <c r="A23" s="360" t="s">
        <v>64</v>
      </c>
      <c r="B23" s="360"/>
      <c r="C23" s="360"/>
      <c r="D23" s="360"/>
      <c r="E23" s="5" t="s">
        <v>297</v>
      </c>
      <c r="F23" s="5" t="s">
        <v>128</v>
      </c>
      <c r="G23" s="27">
        <f>$G$22*$G$7</f>
        <v>63.36</v>
      </c>
      <c r="I23" s="66"/>
      <c r="J23" s="81"/>
      <c r="K23" s="81"/>
      <c r="L23" s="82"/>
      <c r="M23" s="83"/>
      <c r="N23" s="84"/>
      <c r="O23" s="82"/>
      <c r="P23" s="82"/>
      <c r="Q23" s="82"/>
      <c r="R23" s="82"/>
      <c r="S23" s="66"/>
    </row>
    <row r="24" spans="1:19" ht="12.75">
      <c r="A24" s="360" t="s">
        <v>66</v>
      </c>
      <c r="B24" s="360"/>
      <c r="C24" s="360"/>
      <c r="D24" s="360"/>
      <c r="E24" s="5" t="s">
        <v>67</v>
      </c>
      <c r="F24" s="5" t="s">
        <v>128</v>
      </c>
      <c r="G24" s="25">
        <f>Polars!$G$18-Ranges!G23</f>
        <v>786.64</v>
      </c>
      <c r="I24" s="66"/>
      <c r="J24" s="81"/>
      <c r="K24" s="81"/>
      <c r="L24" s="82"/>
      <c r="M24" s="83"/>
      <c r="N24" s="84"/>
      <c r="O24" s="82"/>
      <c r="P24" s="82"/>
      <c r="Q24" s="82"/>
      <c r="R24" s="82"/>
      <c r="S24" s="66"/>
    </row>
    <row r="25" spans="1:19" ht="12.75">
      <c r="A25" s="14"/>
      <c r="B25" s="14"/>
      <c r="C25" s="14"/>
      <c r="D25" s="14"/>
      <c r="E25" s="28"/>
      <c r="F25" s="28"/>
      <c r="G25" s="85"/>
      <c r="I25" s="66"/>
      <c r="J25" s="81"/>
      <c r="K25" s="81"/>
      <c r="L25" s="82"/>
      <c r="M25" s="83"/>
      <c r="N25" s="84"/>
      <c r="O25" s="82"/>
      <c r="P25" s="82"/>
      <c r="Q25" s="82"/>
      <c r="R25" s="82"/>
      <c r="S25" s="66"/>
    </row>
    <row r="26" spans="1:19" ht="12.75">
      <c r="A26" s="14"/>
      <c r="B26" s="14"/>
      <c r="C26" s="14"/>
      <c r="D26" s="14"/>
      <c r="E26" s="28"/>
      <c r="F26" s="28"/>
      <c r="G26" s="85"/>
      <c r="I26" s="66"/>
      <c r="J26" s="81"/>
      <c r="K26" s="81"/>
      <c r="L26" s="82"/>
      <c r="M26" s="83"/>
      <c r="N26" s="84"/>
      <c r="O26" s="82"/>
      <c r="P26" s="82"/>
      <c r="Q26" s="82"/>
      <c r="R26" s="82"/>
      <c r="S26" s="66"/>
    </row>
    <row r="27" spans="6:19" ht="12.75">
      <c r="F27" s="71"/>
      <c r="G27" s="72"/>
      <c r="H27" s="72"/>
      <c r="I27" s="66"/>
      <c r="J27" s="86"/>
      <c r="K27" s="86"/>
      <c r="L27" s="87"/>
      <c r="M27" s="88"/>
      <c r="N27" s="89"/>
      <c r="O27" s="87"/>
      <c r="P27" s="87"/>
      <c r="Q27" s="87"/>
      <c r="R27" s="87"/>
      <c r="S27" s="66"/>
    </row>
    <row r="28" spans="1:19" ht="16.5">
      <c r="A28" s="402" t="s">
        <v>138</v>
      </c>
      <c r="B28" s="402"/>
      <c r="C28" s="402"/>
      <c r="D28" s="402"/>
      <c r="E28" s="402"/>
      <c r="F28" s="402"/>
      <c r="G28" s="402"/>
      <c r="H28" s="72"/>
      <c r="I28" s="66"/>
      <c r="J28" s="71"/>
      <c r="K28" s="71"/>
      <c r="L28" s="71"/>
      <c r="M28" s="71"/>
      <c r="N28" s="71"/>
      <c r="O28" s="72"/>
      <c r="P28" s="72"/>
      <c r="Q28" s="72"/>
      <c r="R28" s="72"/>
      <c r="S28" s="66"/>
    </row>
    <row r="29" spans="6:19" ht="12.75">
      <c r="F29" s="75"/>
      <c r="G29" s="82"/>
      <c r="H29" s="82"/>
      <c r="I29" s="66"/>
      <c r="J29" s="83"/>
      <c r="K29" s="83"/>
      <c r="L29" s="82"/>
      <c r="M29" s="82"/>
      <c r="N29" s="82"/>
      <c r="O29" s="72"/>
      <c r="P29" s="72"/>
      <c r="Q29" s="72"/>
      <c r="R29" s="72"/>
      <c r="S29" s="66"/>
    </row>
    <row r="30" spans="1:19" ht="12.75">
      <c r="A30" s="403" t="s">
        <v>298</v>
      </c>
      <c r="B30" s="403"/>
      <c r="C30" s="403"/>
      <c r="D30" s="403"/>
      <c r="E30" s="90" t="s">
        <v>0</v>
      </c>
      <c r="F30" s="90" t="s">
        <v>1</v>
      </c>
      <c r="G30" s="4" t="s">
        <v>2</v>
      </c>
      <c r="H30" s="21" t="s">
        <v>29</v>
      </c>
      <c r="I30" s="66"/>
      <c r="J30" s="66"/>
      <c r="K30" s="66"/>
      <c r="L30" s="66"/>
      <c r="M30" s="66"/>
      <c r="N30" s="66"/>
      <c r="O30" s="66"/>
      <c r="P30" s="66"/>
      <c r="Q30" s="66"/>
      <c r="R30" s="66"/>
      <c r="S30" s="66"/>
    </row>
    <row r="31" spans="1:19" ht="12.75">
      <c r="A31" s="398" t="s">
        <v>30</v>
      </c>
      <c r="B31" s="399"/>
      <c r="C31" s="399"/>
      <c r="D31" s="400"/>
      <c r="E31" s="67" t="s">
        <v>291</v>
      </c>
      <c r="F31" s="67" t="s">
        <v>99</v>
      </c>
      <c r="G31" s="91">
        <f>Polars!G37</f>
        <v>32.41701156204101</v>
      </c>
      <c r="H31" s="226">
        <f>G31*3.6/1.852</f>
        <v>63.013629386256824</v>
      </c>
      <c r="I31" s="66"/>
      <c r="J31" s="66"/>
      <c r="K31" s="66"/>
      <c r="L31" s="66"/>
      <c r="M31" s="66"/>
      <c r="N31" s="66"/>
      <c r="O31" s="66"/>
      <c r="P31" s="66"/>
      <c r="Q31" s="66"/>
      <c r="R31" s="66"/>
      <c r="S31" s="66"/>
    </row>
    <row r="32" spans="1:19" ht="12.75">
      <c r="A32" s="395" t="s">
        <v>68</v>
      </c>
      <c r="B32" s="396"/>
      <c r="C32" s="396"/>
      <c r="D32" s="397"/>
      <c r="E32" s="69" t="s">
        <v>39</v>
      </c>
      <c r="F32" s="69"/>
      <c r="G32" s="70">
        <f>2*Polars!$G$18*9.81/(1.225*Ranges!G31^2*Polars!$G$13)</f>
        <v>0.6927783095049351</v>
      </c>
      <c r="H32" s="14"/>
      <c r="I32" s="66"/>
      <c r="J32" s="66"/>
      <c r="K32" s="66"/>
      <c r="L32" s="66"/>
      <c r="M32" s="66"/>
      <c r="N32" s="66"/>
      <c r="O32" s="66"/>
      <c r="P32" s="66"/>
      <c r="Q32" s="66"/>
      <c r="R32" s="66"/>
      <c r="S32" s="66"/>
    </row>
    <row r="33" spans="1:19" ht="12.75">
      <c r="A33" s="395" t="s">
        <v>69</v>
      </c>
      <c r="B33" s="396"/>
      <c r="C33" s="396"/>
      <c r="D33" s="397"/>
      <c r="E33" s="69" t="s">
        <v>40</v>
      </c>
      <c r="F33" s="69"/>
      <c r="G33" s="70">
        <f>Polars!$G$19+Ranges!G32^2/(PI()*Polars!$G$24*Polars!$G$28)</f>
        <v>0.023599999999999996</v>
      </c>
      <c r="I33" s="66"/>
      <c r="J33" s="66"/>
      <c r="K33" s="66"/>
      <c r="L33" s="66"/>
      <c r="M33" s="66"/>
      <c r="N33" s="66"/>
      <c r="O33" s="66"/>
      <c r="P33" s="66"/>
      <c r="Q33" s="66"/>
      <c r="R33" s="66"/>
      <c r="S33" s="66"/>
    </row>
    <row r="34" spans="1:19" ht="12.75">
      <c r="A34" s="395" t="s">
        <v>70</v>
      </c>
      <c r="B34" s="396"/>
      <c r="C34" s="396"/>
      <c r="D34" s="397"/>
      <c r="E34" s="69" t="s">
        <v>71</v>
      </c>
      <c r="F34" s="69"/>
      <c r="G34" s="92">
        <f>G32/G33</f>
        <v>29.3550131146159</v>
      </c>
      <c r="I34" s="66"/>
      <c r="J34" s="66"/>
      <c r="K34" s="66"/>
      <c r="L34" s="66"/>
      <c r="M34" s="66"/>
      <c r="N34" s="66"/>
      <c r="O34" s="66"/>
      <c r="P34" s="66"/>
      <c r="Q34" s="66"/>
      <c r="R34" s="66"/>
      <c r="S34" s="66"/>
    </row>
    <row r="35" spans="1:7" ht="12.75">
      <c r="A35" s="392" t="s">
        <v>72</v>
      </c>
      <c r="B35" s="393"/>
      <c r="C35" s="393"/>
      <c r="D35" s="394"/>
      <c r="E35" s="73" t="s">
        <v>73</v>
      </c>
      <c r="F35" s="73" t="s">
        <v>225</v>
      </c>
      <c r="G35" s="93">
        <f>0.5*1.225*G31^2*G33*Polars!$G$13</f>
        <v>284.0571035496574</v>
      </c>
    </row>
    <row r="36" spans="1:7" ht="12.75">
      <c r="A36" s="404" t="s">
        <v>74</v>
      </c>
      <c r="B36" s="404"/>
      <c r="C36" s="404"/>
      <c r="D36" s="404"/>
      <c r="E36" s="15" t="s">
        <v>75</v>
      </c>
      <c r="F36" s="15" t="s">
        <v>124</v>
      </c>
      <c r="G36" s="94">
        <f>G35*G31/1000</f>
        <v>9.208282410049126</v>
      </c>
    </row>
    <row r="37" spans="1:7" ht="12.75">
      <c r="A37" s="360" t="s">
        <v>76</v>
      </c>
      <c r="B37" s="360"/>
      <c r="C37" s="360"/>
      <c r="D37" s="360"/>
      <c r="E37" s="5" t="s">
        <v>59</v>
      </c>
      <c r="F37" s="5"/>
      <c r="G37" s="95">
        <f>1.6/(1+(1+4*G33*Polars!$G$13/(Polars!$G$17^2*PI()))^0.5)</f>
        <v>0.7644893376863025</v>
      </c>
    </row>
    <row r="38" spans="1:8" ht="12.75">
      <c r="A38" s="360" t="s">
        <v>77</v>
      </c>
      <c r="B38" s="360"/>
      <c r="C38" s="360"/>
      <c r="D38" s="360"/>
      <c r="E38" s="5" t="s">
        <v>78</v>
      </c>
      <c r="F38" s="5" t="s">
        <v>124</v>
      </c>
      <c r="G38" s="96">
        <f>G36/G37</f>
        <v>12.045010906126747</v>
      </c>
      <c r="H38" s="14"/>
    </row>
    <row r="39" spans="1:8" ht="12.75">
      <c r="A39" s="371"/>
      <c r="B39" s="371"/>
      <c r="C39" s="371"/>
      <c r="D39" s="371"/>
      <c r="H39" s="14"/>
    </row>
    <row r="40" spans="1:10" ht="12.75">
      <c r="A40" s="401" t="s">
        <v>79</v>
      </c>
      <c r="B40" s="401"/>
      <c r="C40" s="401"/>
      <c r="D40" s="401"/>
      <c r="E40" s="386" t="s">
        <v>80</v>
      </c>
      <c r="F40" s="386" t="s">
        <v>121</v>
      </c>
      <c r="G40" s="405">
        <f>G37*G34/($G$15*9.81)*LN(Polars!$G$18/Ranges!$G$24)/1000</f>
        <v>1324.8748982950278</v>
      </c>
      <c r="H40" s="14"/>
      <c r="J40"/>
    </row>
    <row r="41" spans="1:13" ht="12.75">
      <c r="A41" s="401"/>
      <c r="B41" s="401"/>
      <c r="C41" s="401"/>
      <c r="D41" s="401"/>
      <c r="E41" s="386"/>
      <c r="F41" s="386"/>
      <c r="G41" s="406"/>
      <c r="H41" s="14"/>
      <c r="M41"/>
    </row>
    <row r="42" spans="1:11" ht="12.75">
      <c r="A42" s="401"/>
      <c r="B42" s="401"/>
      <c r="C42" s="401"/>
      <c r="D42" s="401"/>
      <c r="E42" s="386"/>
      <c r="F42" s="386"/>
      <c r="G42" s="407"/>
      <c r="H42" s="13"/>
      <c r="I42" s="14"/>
      <c r="K42" s="14"/>
    </row>
    <row r="43" spans="1:11" ht="12.75">
      <c r="A43" s="97"/>
      <c r="B43" s="97"/>
      <c r="C43" s="97"/>
      <c r="D43" s="97"/>
      <c r="E43" s="28"/>
      <c r="F43" s="28"/>
      <c r="G43" s="29"/>
      <c r="H43" s="14"/>
      <c r="I43" s="14"/>
      <c r="K43" s="14"/>
    </row>
    <row r="44" spans="1:11" ht="12.75">
      <c r="A44" s="401" t="s">
        <v>81</v>
      </c>
      <c r="B44" s="360"/>
      <c r="C44" s="360"/>
      <c r="D44" s="360"/>
      <c r="E44" s="386" t="s">
        <v>82</v>
      </c>
      <c r="F44" s="386" t="s">
        <v>121</v>
      </c>
      <c r="G44" s="405">
        <f>2*Polars!$G$39*Ranges!G37/(9.81*Ranges!$G$15)*ATAN(H45^0.5*(Polars!$G$18-Ranges!$G$24)/(Ranges!H45+Polars!$G$18*Ranges!$G$24))/1000</f>
        <v>1323.5518035615694</v>
      </c>
      <c r="H44" s="18" t="s">
        <v>83</v>
      </c>
      <c r="I44" s="14"/>
      <c r="K44" s="14"/>
    </row>
    <row r="45" spans="1:11" ht="12.75">
      <c r="A45" s="360"/>
      <c r="B45" s="360"/>
      <c r="C45" s="360"/>
      <c r="D45" s="360"/>
      <c r="E45" s="386"/>
      <c r="F45" s="386"/>
      <c r="G45" s="407"/>
      <c r="H45" s="98">
        <f>Polars!$G$19*1.225^2*Polars!$G$13^2*Ranges!G31^4*PI()*Polars!$G$24*Polars!$G$28/(4*9.81^2)</f>
        <v>722500.0000000002</v>
      </c>
      <c r="I45" s="13"/>
      <c r="J45" s="13"/>
      <c r="K45" s="14"/>
    </row>
    <row r="47" spans="1:13" ht="12.75">
      <c r="A47" s="360" t="s">
        <v>84</v>
      </c>
      <c r="B47" s="360"/>
      <c r="C47" s="360"/>
      <c r="D47" s="360"/>
      <c r="E47" s="5" t="s">
        <v>85</v>
      </c>
      <c r="F47" s="5" t="s">
        <v>123</v>
      </c>
      <c r="G47" s="27">
        <f>2*G37*G34/($G$15*9.81*G31)*((Polars!$G$18/Ranges!$G$24)^0.5-1)/3600</f>
        <v>11.575433579110312</v>
      </c>
      <c r="H47" s="12"/>
      <c r="I47" s="13"/>
      <c r="J47" s="13"/>
      <c r="K47" s="13"/>
      <c r="L47" s="13"/>
      <c r="M47" s="13"/>
    </row>
    <row r="48" spans="1:13" ht="12.75">
      <c r="A48" s="14"/>
      <c r="B48" s="14"/>
      <c r="C48" s="14"/>
      <c r="D48" s="14"/>
      <c r="E48" s="28"/>
      <c r="F48" s="28"/>
      <c r="G48" s="85"/>
      <c r="H48" s="14"/>
      <c r="I48" s="14"/>
      <c r="J48" s="14"/>
      <c r="K48" s="14"/>
      <c r="L48" s="14"/>
      <c r="M48" s="14"/>
    </row>
    <row r="49" spans="1:13" ht="12.75">
      <c r="A49" s="14"/>
      <c r="B49" s="14"/>
      <c r="C49" s="14"/>
      <c r="D49" s="14"/>
      <c r="E49" s="28"/>
      <c r="F49" s="28"/>
      <c r="G49" s="85"/>
      <c r="H49" s="14"/>
      <c r="I49" s="14"/>
      <c r="J49" s="14"/>
      <c r="K49" s="14"/>
      <c r="L49" s="14"/>
      <c r="M49" s="14"/>
    </row>
    <row r="50" spans="1:13" ht="12.75">
      <c r="A50" s="14"/>
      <c r="B50" s="14"/>
      <c r="C50" s="14"/>
      <c r="D50" s="14"/>
      <c r="E50" s="28"/>
      <c r="F50" s="28"/>
      <c r="G50" s="85"/>
      <c r="H50" s="14"/>
      <c r="I50" s="14"/>
      <c r="J50" s="14"/>
      <c r="K50" s="14"/>
      <c r="L50" s="14"/>
      <c r="M50" s="14"/>
    </row>
    <row r="52" spans="1:9" ht="12.75">
      <c r="A52" s="360" t="s">
        <v>86</v>
      </c>
      <c r="B52" s="360"/>
      <c r="C52" s="360"/>
      <c r="D52" s="360"/>
      <c r="E52" s="5" t="s">
        <v>87</v>
      </c>
      <c r="F52" s="5" t="s">
        <v>123</v>
      </c>
      <c r="G52" s="27">
        <f>G37*G34/($G$15*9.81*G31)*LN(Polars!$G$18/Ranges!$G$24)/3600</f>
        <v>11.352706105484733</v>
      </c>
      <c r="H52" s="12"/>
      <c r="I52"/>
    </row>
    <row r="54" ht="12.75">
      <c r="K54"/>
    </row>
    <row r="55" ht="12.75">
      <c r="H55" s="18" t="s">
        <v>83</v>
      </c>
    </row>
    <row r="56" spans="1:10" ht="12.75">
      <c r="A56" s="360" t="s">
        <v>88</v>
      </c>
      <c r="B56" s="360"/>
      <c r="C56" s="360"/>
      <c r="D56" s="360"/>
      <c r="E56" s="5" t="s">
        <v>89</v>
      </c>
      <c r="F56" s="5" t="s">
        <v>123</v>
      </c>
      <c r="G56" s="27">
        <f>2*Polars!$G$39*Ranges!G37/(9.81*Ranges!$G$15*Ranges!G31)*ATAN(Ranges!H45^0.5*(Polars!$G$18-Ranges!$G$24)/(Ranges!H45+Polars!$G$18*Ranges!$G$24))/3600</f>
        <v>11.341368653414357</v>
      </c>
      <c r="H56" s="98">
        <f>H45</f>
        <v>722500.0000000002</v>
      </c>
      <c r="I56" s="13"/>
      <c r="J56" s="13"/>
    </row>
    <row r="57" ht="12.75">
      <c r="G57" s="14"/>
    </row>
    <row r="58" ht="12.75">
      <c r="G58" s="14"/>
    </row>
    <row r="59" spans="7:8" ht="12.75">
      <c r="G59" s="14"/>
      <c r="H59" s="14"/>
    </row>
    <row r="60" spans="1:16" ht="16.5">
      <c r="A60" s="402" t="s">
        <v>139</v>
      </c>
      <c r="B60" s="402"/>
      <c r="C60" s="402"/>
      <c r="D60" s="402"/>
      <c r="E60" s="402"/>
      <c r="F60" s="402"/>
      <c r="G60" s="402"/>
      <c r="H60" s="72"/>
      <c r="I60" s="66"/>
      <c r="J60" s="71"/>
      <c r="K60" s="71"/>
      <c r="L60" s="71"/>
      <c r="M60" s="71"/>
      <c r="N60" s="71"/>
      <c r="O60" s="72"/>
      <c r="P60" s="72"/>
    </row>
    <row r="61" spans="6:16" ht="12.75">
      <c r="F61" s="75"/>
      <c r="G61" s="82"/>
      <c r="H61" s="82"/>
      <c r="I61" s="66"/>
      <c r="J61" s="83"/>
      <c r="K61" s="83"/>
      <c r="L61" s="82"/>
      <c r="M61" s="82"/>
      <c r="N61" s="82"/>
      <c r="O61" s="72"/>
      <c r="P61" s="72"/>
    </row>
    <row r="62" spans="1:16" ht="12.75">
      <c r="A62" s="403" t="s">
        <v>298</v>
      </c>
      <c r="B62" s="403"/>
      <c r="C62" s="403"/>
      <c r="D62" s="403"/>
      <c r="E62" s="90" t="s">
        <v>0</v>
      </c>
      <c r="F62" s="90" t="s">
        <v>1</v>
      </c>
      <c r="G62" s="4" t="s">
        <v>2</v>
      </c>
      <c r="H62" s="21" t="s">
        <v>29</v>
      </c>
      <c r="I62" s="66"/>
      <c r="J62" s="66"/>
      <c r="K62" s="66"/>
      <c r="L62" s="66"/>
      <c r="M62" s="66"/>
      <c r="N62" s="66"/>
      <c r="O62" s="66"/>
      <c r="P62" s="66"/>
    </row>
    <row r="63" spans="1:16" ht="12.75">
      <c r="A63" s="398" t="s">
        <v>36</v>
      </c>
      <c r="B63" s="399"/>
      <c r="C63" s="399"/>
      <c r="D63" s="400"/>
      <c r="E63" s="67" t="s">
        <v>31</v>
      </c>
      <c r="F63" s="67" t="s">
        <v>99</v>
      </c>
      <c r="G63" s="91">
        <f>Polars!$G$46</f>
        <v>24.631602207019032</v>
      </c>
      <c r="H63" s="226">
        <f>G63*3.6/1.852</f>
        <v>47.880004290101795</v>
      </c>
      <c r="I63" s="66"/>
      <c r="J63" s="66"/>
      <c r="K63" s="66"/>
      <c r="L63" s="66"/>
      <c r="M63" s="66"/>
      <c r="N63" s="66"/>
      <c r="O63" s="66"/>
      <c r="P63" s="66"/>
    </row>
    <row r="64" spans="1:16" ht="12.75">
      <c r="A64" s="395" t="s">
        <v>68</v>
      </c>
      <c r="B64" s="396"/>
      <c r="C64" s="396"/>
      <c r="D64" s="397"/>
      <c r="E64" s="69" t="s">
        <v>39</v>
      </c>
      <c r="F64" s="69"/>
      <c r="G64" s="70">
        <f>2*Polars!$G$18*9.81/(1.225*Ranges!G63^2*Polars!$G$13)</f>
        <v>1.1999272304442248</v>
      </c>
      <c r="H64" s="14"/>
      <c r="I64" s="66"/>
      <c r="J64" s="66"/>
      <c r="K64" s="66"/>
      <c r="L64" s="66"/>
      <c r="M64" s="66"/>
      <c r="N64" s="66"/>
      <c r="O64" s="66"/>
      <c r="P64" s="66"/>
    </row>
    <row r="65" spans="1:16" ht="12.75">
      <c r="A65" s="395" t="s">
        <v>69</v>
      </c>
      <c r="B65" s="396"/>
      <c r="C65" s="396"/>
      <c r="D65" s="397"/>
      <c r="E65" s="69" t="s">
        <v>40</v>
      </c>
      <c r="F65" s="69"/>
      <c r="G65" s="70">
        <f>Polars!$G$19+Ranges!G64^2/(PI()*Polars!$G$24*Polars!$G$28)</f>
        <v>0.04719999999999999</v>
      </c>
      <c r="I65" s="66"/>
      <c r="J65" s="66"/>
      <c r="K65" s="66"/>
      <c r="L65" s="66"/>
      <c r="M65" s="66"/>
      <c r="N65" s="66"/>
      <c r="O65" s="66"/>
      <c r="P65" s="66"/>
    </row>
    <row r="66" spans="1:16" ht="12.75">
      <c r="A66" s="395" t="s">
        <v>58</v>
      </c>
      <c r="B66" s="396"/>
      <c r="C66" s="396"/>
      <c r="D66" s="397"/>
      <c r="E66" s="69" t="s">
        <v>71</v>
      </c>
      <c r="F66" s="69"/>
      <c r="G66" s="92">
        <f>G64/G65</f>
        <v>25.422187085682733</v>
      </c>
      <c r="I66" s="66"/>
      <c r="J66" s="66"/>
      <c r="K66" s="66"/>
      <c r="L66" s="66"/>
      <c r="M66" s="66"/>
      <c r="N66" s="66"/>
      <c r="O66" s="66"/>
      <c r="P66" s="66"/>
    </row>
    <row r="67" spans="1:7" ht="12.75">
      <c r="A67" s="392" t="s">
        <v>90</v>
      </c>
      <c r="B67" s="393"/>
      <c r="C67" s="393"/>
      <c r="D67" s="394"/>
      <c r="E67" s="73" t="s">
        <v>73</v>
      </c>
      <c r="F67" s="73" t="s">
        <v>225</v>
      </c>
      <c r="G67" s="93">
        <f>0.5*1.225*G63^2*G65*Polars!$G$13</f>
        <v>328.0008903992401</v>
      </c>
    </row>
    <row r="68" spans="1:7" ht="12.75">
      <c r="A68" s="404" t="s">
        <v>91</v>
      </c>
      <c r="B68" s="404"/>
      <c r="C68" s="404"/>
      <c r="D68" s="404"/>
      <c r="E68" s="15" t="s">
        <v>75</v>
      </c>
      <c r="F68" s="15" t="s">
        <v>124</v>
      </c>
      <c r="G68" s="94">
        <f>G67*G63/1000</f>
        <v>8.07918745586213</v>
      </c>
    </row>
    <row r="69" spans="1:7" ht="12.75">
      <c r="A69" s="360" t="s">
        <v>76</v>
      </c>
      <c r="B69" s="360"/>
      <c r="C69" s="360"/>
      <c r="D69" s="360"/>
      <c r="E69" s="5" t="s">
        <v>59</v>
      </c>
      <c r="F69" s="5"/>
      <c r="G69" s="95">
        <f>1.6/(1+(1+4*G65*Polars!$G$13/(Polars!$G$17^2*PI()))^0.5)</f>
        <v>0.7344502975092465</v>
      </c>
    </row>
    <row r="70" spans="1:8" ht="12.75">
      <c r="A70" s="360" t="s">
        <v>77</v>
      </c>
      <c r="B70" s="360"/>
      <c r="C70" s="360"/>
      <c r="D70" s="360"/>
      <c r="E70" s="5" t="s">
        <v>78</v>
      </c>
      <c r="F70" s="5" t="s">
        <v>124</v>
      </c>
      <c r="G70" s="96">
        <f>G68/G69</f>
        <v>11.00031885515087</v>
      </c>
      <c r="H70" s="14"/>
    </row>
    <row r="71" spans="1:8" ht="12.75">
      <c r="A71" s="371"/>
      <c r="B71" s="371"/>
      <c r="C71" s="371"/>
      <c r="D71" s="371"/>
      <c r="H71" s="14"/>
    </row>
    <row r="72" spans="1:10" ht="12.75">
      <c r="A72" s="401" t="s">
        <v>79</v>
      </c>
      <c r="B72" s="401"/>
      <c r="C72" s="401"/>
      <c r="D72" s="401"/>
      <c r="E72" s="386" t="s">
        <v>80</v>
      </c>
      <c r="F72" s="386" t="s">
        <v>121</v>
      </c>
      <c r="G72" s="408">
        <f>G69*G66/($G$15*9.81)*LN(Polars!$G$18/Ranges!$G$24)/1000</f>
        <v>1102.2915594457927</v>
      </c>
      <c r="H72" s="14"/>
      <c r="J72"/>
    </row>
    <row r="73" spans="1:13" ht="12.75">
      <c r="A73" s="401"/>
      <c r="B73" s="401"/>
      <c r="C73" s="401"/>
      <c r="D73" s="401"/>
      <c r="E73" s="386"/>
      <c r="F73" s="386"/>
      <c r="G73" s="408"/>
      <c r="H73" s="14"/>
      <c r="M73"/>
    </row>
    <row r="74" spans="1:11" ht="12.75">
      <c r="A74" s="401"/>
      <c r="B74" s="401"/>
      <c r="C74" s="401"/>
      <c r="D74" s="401"/>
      <c r="E74" s="386"/>
      <c r="F74" s="386"/>
      <c r="G74" s="408"/>
      <c r="H74" s="13"/>
      <c r="I74" s="14"/>
      <c r="K74" s="14"/>
    </row>
    <row r="75" spans="1:11" ht="12.75">
      <c r="A75" s="97"/>
      <c r="B75" s="97"/>
      <c r="C75" s="97"/>
      <c r="D75" s="97"/>
      <c r="E75" s="28"/>
      <c r="F75" s="28"/>
      <c r="G75" s="29"/>
      <c r="H75" s="14"/>
      <c r="I75" s="14"/>
      <c r="K75" s="14"/>
    </row>
    <row r="76" spans="1:11" ht="12.75">
      <c r="A76" s="401" t="s">
        <v>81</v>
      </c>
      <c r="B76" s="360"/>
      <c r="C76" s="360"/>
      <c r="D76" s="360"/>
      <c r="E76" s="386" t="s">
        <v>82</v>
      </c>
      <c r="F76" s="386" t="s">
        <v>121</v>
      </c>
      <c r="G76" s="408">
        <f>2*Polars!$G$39*Ranges!G69/(9.81*Ranges!$G$15)*ATAN(H77^0.5*(Polars!$G$18-Ranges!$G$24)/(Ranges!H77+Polars!$G$18*Ranges!$G$24))/1000</f>
        <v>1123.0502812367197</v>
      </c>
      <c r="H76" s="18" t="s">
        <v>83</v>
      </c>
      <c r="I76" s="14"/>
      <c r="K76" s="14"/>
    </row>
    <row r="77" spans="1:11" ht="12.75">
      <c r="A77" s="360"/>
      <c r="B77" s="360"/>
      <c r="C77" s="360"/>
      <c r="D77" s="360"/>
      <c r="E77" s="386"/>
      <c r="F77" s="386"/>
      <c r="G77" s="408"/>
      <c r="H77" s="98">
        <f>Polars!$G$19*1.225^2*Polars!$G$13^2*Ranges!G63^4*PI()*Polars!$G$24*Polars!$G$28/(4*9.81^2)</f>
        <v>240833.3333333333</v>
      </c>
      <c r="I77" s="13"/>
      <c r="J77" s="13"/>
      <c r="K77" s="14"/>
    </row>
    <row r="79" spans="1:13" ht="12.75">
      <c r="A79" s="360" t="s">
        <v>84</v>
      </c>
      <c r="B79" s="360"/>
      <c r="C79" s="360"/>
      <c r="D79" s="360"/>
      <c r="E79" s="5" t="s">
        <v>85</v>
      </c>
      <c r="F79" s="5" t="s">
        <v>123</v>
      </c>
      <c r="G79" s="27">
        <f>2*G69*G66/($G$15*9.81*G63)*((Polars!$G$18/Ranges!$G$24)^0.5-1)/3600</f>
        <v>12.674743845106224</v>
      </c>
      <c r="H79" s="12"/>
      <c r="I79" s="13"/>
      <c r="J79" s="13"/>
      <c r="K79" s="13"/>
      <c r="L79" s="13"/>
      <c r="M79" s="13"/>
    </row>
    <row r="80" spans="1:13" ht="12.75">
      <c r="A80" s="14"/>
      <c r="B80" s="14"/>
      <c r="C80" s="14"/>
      <c r="D80" s="14"/>
      <c r="E80" s="28"/>
      <c r="F80" s="28"/>
      <c r="G80" s="85"/>
      <c r="H80" s="14"/>
      <c r="I80" s="14"/>
      <c r="J80" s="14"/>
      <c r="K80" s="14"/>
      <c r="L80" s="14"/>
      <c r="M80" s="14"/>
    </row>
    <row r="81" spans="1:13" ht="12.75">
      <c r="A81" s="14"/>
      <c r="B81" s="14"/>
      <c r="C81" s="14"/>
      <c r="D81" s="14"/>
      <c r="E81" s="28"/>
      <c r="F81" s="28"/>
      <c r="G81" s="85"/>
      <c r="H81" s="14"/>
      <c r="I81" s="14"/>
      <c r="J81" s="14"/>
      <c r="K81" s="14"/>
      <c r="L81" s="14"/>
      <c r="M81" s="14"/>
    </row>
    <row r="82" spans="1:13" ht="12.75">
      <c r="A82" s="14"/>
      <c r="B82" s="14"/>
      <c r="C82" s="14"/>
      <c r="D82" s="14"/>
      <c r="E82" s="28"/>
      <c r="F82" s="28"/>
      <c r="G82" s="85"/>
      <c r="H82" s="14"/>
      <c r="I82" s="14"/>
      <c r="J82" s="14"/>
      <c r="K82" s="14"/>
      <c r="L82" s="14"/>
      <c r="M82" s="14"/>
    </row>
    <row r="84" spans="1:9" ht="12.75">
      <c r="A84" s="360" t="s">
        <v>86</v>
      </c>
      <c r="B84" s="360"/>
      <c r="C84" s="360"/>
      <c r="D84" s="360"/>
      <c r="E84" s="5" t="s">
        <v>87</v>
      </c>
      <c r="F84" s="5" t="s">
        <v>123</v>
      </c>
      <c r="G84" s="27">
        <f>G69*G66/($G$15*9.81*G63)*LN(Polars!$G$18/Ranges!$G$24)/3600</f>
        <v>12.430864109960371</v>
      </c>
      <c r="H84" s="12"/>
      <c r="I84"/>
    </row>
    <row r="86" ht="12.75">
      <c r="K86"/>
    </row>
    <row r="87" ht="12.75">
      <c r="H87" s="18" t="s">
        <v>83</v>
      </c>
    </row>
    <row r="88" spans="1:10" ht="12.75">
      <c r="A88" s="360" t="s">
        <v>88</v>
      </c>
      <c r="B88" s="360"/>
      <c r="C88" s="360"/>
      <c r="D88" s="360"/>
      <c r="E88" s="5" t="s">
        <v>89</v>
      </c>
      <c r="F88" s="5" t="s">
        <v>123</v>
      </c>
      <c r="G88" s="27">
        <f>2*Polars!$G$39*Ranges!G69/(9.81*Ranges!$G$15*Ranges!G63)*ATAN(Ranges!H77^0.5*(Polars!$G$18-Ranges!$G$24)/(Ranges!H77+Polars!$G$18*Ranges!$G$24))/3600</f>
        <v>12.664966283263073</v>
      </c>
      <c r="H88" s="98">
        <f>H77</f>
        <v>240833.3333333333</v>
      </c>
      <c r="I88" s="13"/>
      <c r="J88" s="13"/>
    </row>
    <row r="89" ht="12.75">
      <c r="G89" s="14"/>
    </row>
    <row r="90" ht="12.75">
      <c r="G90" s="14"/>
    </row>
    <row r="92" spans="1:16" ht="16.5">
      <c r="A92" s="402" t="s">
        <v>140</v>
      </c>
      <c r="B92" s="402"/>
      <c r="C92" s="402"/>
      <c r="D92" s="402"/>
      <c r="E92" s="402"/>
      <c r="F92" s="402"/>
      <c r="G92" s="402"/>
      <c r="H92" s="72"/>
      <c r="I92" s="66"/>
      <c r="J92" s="71"/>
      <c r="K92" s="71"/>
      <c r="L92" s="71"/>
      <c r="M92" s="71"/>
      <c r="N92" s="71"/>
      <c r="O92" s="72"/>
      <c r="P92" s="72"/>
    </row>
    <row r="93" spans="6:16" ht="12.75">
      <c r="F93" s="75"/>
      <c r="G93" s="82"/>
      <c r="H93" s="82"/>
      <c r="I93" s="66"/>
      <c r="J93" s="83"/>
      <c r="K93" s="83"/>
      <c r="L93" s="82"/>
      <c r="M93" s="82"/>
      <c r="N93" s="82"/>
      <c r="O93" s="72"/>
      <c r="P93" s="72"/>
    </row>
    <row r="94" spans="1:16" ht="12.75">
      <c r="A94" s="403" t="s">
        <v>298</v>
      </c>
      <c r="B94" s="403"/>
      <c r="C94" s="403"/>
      <c r="D94" s="403"/>
      <c r="E94" s="90" t="s">
        <v>0</v>
      </c>
      <c r="F94" s="90" t="s">
        <v>1</v>
      </c>
      <c r="G94" s="4" t="s">
        <v>2</v>
      </c>
      <c r="H94" s="21" t="s">
        <v>29</v>
      </c>
      <c r="I94" s="66"/>
      <c r="J94" s="66"/>
      <c r="K94" s="66"/>
      <c r="L94" s="66"/>
      <c r="M94" s="66"/>
      <c r="N94" s="66"/>
      <c r="O94" s="66"/>
      <c r="P94" s="66"/>
    </row>
    <row r="95" spans="1:16" ht="12.75">
      <c r="A95" s="398" t="s">
        <v>92</v>
      </c>
      <c r="B95" s="399"/>
      <c r="C95" s="399"/>
      <c r="D95" s="400"/>
      <c r="E95" s="67" t="s">
        <v>291</v>
      </c>
      <c r="F95" s="67" t="s">
        <v>99</v>
      </c>
      <c r="G95" s="99">
        <v>69</v>
      </c>
      <c r="H95" s="96">
        <f>G95*3.6/1.852</f>
        <v>134.12526997840172</v>
      </c>
      <c r="I95" s="66"/>
      <c r="J95" s="66"/>
      <c r="K95" s="66"/>
      <c r="L95" s="66"/>
      <c r="M95" s="66"/>
      <c r="N95" s="66"/>
      <c r="O95" s="66"/>
      <c r="P95" s="66"/>
    </row>
    <row r="96" spans="1:16" ht="12.75">
      <c r="A96" s="395" t="s">
        <v>68</v>
      </c>
      <c r="B96" s="396"/>
      <c r="C96" s="396"/>
      <c r="D96" s="397"/>
      <c r="E96" s="69" t="s">
        <v>39</v>
      </c>
      <c r="F96" s="69"/>
      <c r="G96" s="70">
        <f>2*Polars!$G$18*9.81/(1.225*Ranges!G95^2*Polars!$G$13)</f>
        <v>0.15291217019545403</v>
      </c>
      <c r="H96" s="14"/>
      <c r="I96" s="66"/>
      <c r="J96" s="66"/>
      <c r="K96" s="66"/>
      <c r="L96" s="66"/>
      <c r="M96" s="66"/>
      <c r="N96" s="66"/>
      <c r="O96" s="66"/>
      <c r="P96" s="66"/>
    </row>
    <row r="97" spans="1:16" ht="12.75">
      <c r="A97" s="395" t="s">
        <v>69</v>
      </c>
      <c r="B97" s="396"/>
      <c r="C97" s="396"/>
      <c r="D97" s="397"/>
      <c r="E97" s="69" t="s">
        <v>40</v>
      </c>
      <c r="F97" s="69"/>
      <c r="G97" s="70">
        <f>Polars!$G$19+Ranges!G96^2/(PI()*Polars!$G$24*Polars!$G$28)</f>
        <v>0.012374880460811852</v>
      </c>
      <c r="I97" s="66"/>
      <c r="J97" s="66"/>
      <c r="K97" s="66"/>
      <c r="L97" s="66"/>
      <c r="M97" s="66"/>
      <c r="N97" s="66"/>
      <c r="O97" s="66"/>
      <c r="P97" s="66"/>
    </row>
    <row r="98" spans="1:16" ht="12.75">
      <c r="A98" s="395" t="s">
        <v>58</v>
      </c>
      <c r="B98" s="396"/>
      <c r="C98" s="396"/>
      <c r="D98" s="397"/>
      <c r="E98" s="69" t="s">
        <v>71</v>
      </c>
      <c r="F98" s="69"/>
      <c r="G98" s="92">
        <f>G96/G97</f>
        <v>12.356658367706144</v>
      </c>
      <c r="I98" s="66"/>
      <c r="J98" s="66"/>
      <c r="K98" s="66"/>
      <c r="L98" s="66"/>
      <c r="M98" s="66"/>
      <c r="N98" s="66"/>
      <c r="O98" s="66"/>
      <c r="P98" s="66"/>
    </row>
    <row r="99" spans="1:7" ht="12.75">
      <c r="A99" s="392" t="s">
        <v>90</v>
      </c>
      <c r="B99" s="393"/>
      <c r="C99" s="393"/>
      <c r="D99" s="394"/>
      <c r="E99" s="73" t="s">
        <v>73</v>
      </c>
      <c r="F99" s="73" t="s">
        <v>225</v>
      </c>
      <c r="G99" s="93">
        <f>0.5*1.225*G95^2*G97*Polars!$G$13</f>
        <v>674.8183652784711</v>
      </c>
    </row>
    <row r="100" spans="1:7" ht="12.75">
      <c r="A100" s="404" t="s">
        <v>74</v>
      </c>
      <c r="B100" s="404"/>
      <c r="C100" s="404"/>
      <c r="D100" s="404"/>
      <c r="E100" s="15" t="s">
        <v>75</v>
      </c>
      <c r="F100" s="15" t="s">
        <v>124</v>
      </c>
      <c r="G100" s="94">
        <f>G99*G95/1000</f>
        <v>46.56246720421451</v>
      </c>
    </row>
    <row r="101" spans="1:7" ht="12.75">
      <c r="A101" s="360" t="s">
        <v>76</v>
      </c>
      <c r="B101" s="360"/>
      <c r="C101" s="360"/>
      <c r="D101" s="360"/>
      <c r="E101" s="5" t="s">
        <v>59</v>
      </c>
      <c r="F101" s="5"/>
      <c r="G101" s="95">
        <f>1.6/(1+(1+4*G97*Polars!$G$13/(Polars!$G$17^2*PI()))^0.5)</f>
        <v>0.7805872175769129</v>
      </c>
    </row>
    <row r="102" spans="1:8" ht="12.75">
      <c r="A102" s="360" t="s">
        <v>77</v>
      </c>
      <c r="B102" s="360"/>
      <c r="C102" s="360"/>
      <c r="D102" s="360"/>
      <c r="E102" s="5" t="s">
        <v>78</v>
      </c>
      <c r="F102" s="5" t="s">
        <v>124</v>
      </c>
      <c r="G102" s="96">
        <f>G100/G101</f>
        <v>59.650563262812604</v>
      </c>
      <c r="H102" s="14"/>
    </row>
    <row r="103" spans="1:8" ht="12.75">
      <c r="A103" s="371"/>
      <c r="B103" s="371"/>
      <c r="C103" s="371"/>
      <c r="D103" s="371"/>
      <c r="H103" s="14"/>
    </row>
    <row r="104" spans="1:10" ht="12.75">
      <c r="A104" s="401" t="s">
        <v>79</v>
      </c>
      <c r="B104" s="401"/>
      <c r="C104" s="401"/>
      <c r="D104" s="401"/>
      <c r="E104" s="386" t="s">
        <v>80</v>
      </c>
      <c r="F104" s="386" t="s">
        <v>121</v>
      </c>
      <c r="G104" s="408">
        <f>G101*G98/($G$15*9.81)*LN(Polars!$G$18/Ranges!$G$24)/1000</f>
        <v>569.434315545889</v>
      </c>
      <c r="H104" s="14"/>
      <c r="J104"/>
    </row>
    <row r="105" spans="1:13" ht="12.75">
      <c r="A105" s="401"/>
      <c r="B105" s="401"/>
      <c r="C105" s="401"/>
      <c r="D105" s="401"/>
      <c r="E105" s="386"/>
      <c r="F105" s="386"/>
      <c r="G105" s="408"/>
      <c r="H105" s="14"/>
      <c r="M105"/>
    </row>
    <row r="106" spans="1:11" ht="12.75">
      <c r="A106" s="401"/>
      <c r="B106" s="401"/>
      <c r="C106" s="401"/>
      <c r="D106" s="401"/>
      <c r="E106" s="386"/>
      <c r="F106" s="386"/>
      <c r="G106" s="408"/>
      <c r="H106" s="13"/>
      <c r="I106" s="14"/>
      <c r="K106" s="14"/>
    </row>
    <row r="107" spans="1:11" ht="12.75">
      <c r="A107" s="97"/>
      <c r="B107" s="97"/>
      <c r="C107" s="97"/>
      <c r="D107" s="97"/>
      <c r="E107" s="28"/>
      <c r="F107" s="28"/>
      <c r="G107" s="29"/>
      <c r="H107" s="14"/>
      <c r="I107" s="14"/>
      <c r="K107" s="14"/>
    </row>
    <row r="108" spans="1:11" ht="12.75">
      <c r="A108" s="401" t="s">
        <v>81</v>
      </c>
      <c r="B108" s="360"/>
      <c r="C108" s="360"/>
      <c r="D108" s="360"/>
      <c r="E108" s="386" t="s">
        <v>82</v>
      </c>
      <c r="F108" s="386" t="s">
        <v>121</v>
      </c>
      <c r="G108" s="408">
        <f>2*Polars!$G$39*Ranges!G101/(9.81*Ranges!$G$15)*ATAN(H109^0.5*(Polars!$G$18-Ranges!$G$24)/(Ranges!H109+Polars!$G$18*Ranges!$G$24))/1000</f>
        <v>549.795775159603</v>
      </c>
      <c r="H108" s="18" t="s">
        <v>83</v>
      </c>
      <c r="I108" s="14"/>
      <c r="K108" s="14"/>
    </row>
    <row r="109" spans="1:11" ht="12.75">
      <c r="A109" s="360"/>
      <c r="B109" s="360"/>
      <c r="C109" s="360"/>
      <c r="D109" s="360"/>
      <c r="E109" s="386"/>
      <c r="F109" s="386"/>
      <c r="G109" s="408"/>
      <c r="H109" s="98">
        <f>Polars!$G$19*1.225^2*Polars!$G$13^2*Ranges!G95^4*PI()*Polars!$G$24*Polars!$G$28/(4*9.81^2)</f>
        <v>14830039.601555096</v>
      </c>
      <c r="I109" s="13"/>
      <c r="J109" s="13"/>
      <c r="K109" s="14"/>
    </row>
    <row r="111" spans="1:13" ht="12.75">
      <c r="A111" s="360" t="s">
        <v>84</v>
      </c>
      <c r="B111" s="360"/>
      <c r="C111" s="360"/>
      <c r="D111" s="360"/>
      <c r="E111" s="5" t="s">
        <v>85</v>
      </c>
      <c r="F111" s="5" t="s">
        <v>123</v>
      </c>
      <c r="G111" s="27">
        <f>2*G101*G98/($G$15*9.81*G95)*((Polars!$G$18/Ranges!$G$24)^0.5-1)/3600</f>
        <v>2.3373831876362297</v>
      </c>
      <c r="H111" s="12"/>
      <c r="I111" s="13"/>
      <c r="J111" s="13"/>
      <c r="K111" s="13"/>
      <c r="L111" s="13"/>
      <c r="M111" s="13"/>
    </row>
    <row r="112" spans="1:13" ht="12.75">
      <c r="A112" s="14"/>
      <c r="B112" s="14"/>
      <c r="C112" s="14"/>
      <c r="D112" s="14"/>
      <c r="E112" s="28"/>
      <c r="F112" s="28"/>
      <c r="G112" s="85"/>
      <c r="H112" s="14"/>
      <c r="I112" s="14"/>
      <c r="J112" s="14"/>
      <c r="K112" s="14"/>
      <c r="L112" s="14"/>
      <c r="M112" s="14"/>
    </row>
    <row r="113" spans="1:13" ht="12.75">
      <c r="A113" s="14"/>
      <c r="B113" s="14"/>
      <c r="C113" s="14"/>
      <c r="D113" s="14"/>
      <c r="E113" s="28"/>
      <c r="F113" s="28"/>
      <c r="G113" s="85"/>
      <c r="H113" s="14"/>
      <c r="I113" s="14"/>
      <c r="J113" s="14"/>
      <c r="K113" s="14"/>
      <c r="L113" s="14"/>
      <c r="M113" s="14"/>
    </row>
    <row r="114" spans="1:13" ht="12.75">
      <c r="A114" s="14"/>
      <c r="B114" s="14"/>
      <c r="C114" s="14"/>
      <c r="D114" s="14"/>
      <c r="E114" s="28"/>
      <c r="F114" s="28"/>
      <c r="G114" s="85"/>
      <c r="H114" s="14"/>
      <c r="I114" s="14"/>
      <c r="J114" s="14"/>
      <c r="K114" s="14"/>
      <c r="L114" s="14"/>
      <c r="M114" s="14"/>
    </row>
    <row r="116" spans="1:9" ht="12.75">
      <c r="A116" s="360" t="s">
        <v>86</v>
      </c>
      <c r="B116" s="360"/>
      <c r="C116" s="360"/>
      <c r="D116" s="360"/>
      <c r="E116" s="5" t="s">
        <v>87</v>
      </c>
      <c r="F116" s="5" t="s">
        <v>123</v>
      </c>
      <c r="G116" s="27">
        <f>G101*G98/($G$15*9.81*G95)*LN(Polars!$G$18/Ranges!$G$24)/3600</f>
        <v>2.2924086777209705</v>
      </c>
      <c r="H116" s="12"/>
      <c r="I116"/>
    </row>
    <row r="118" ht="12.75">
      <c r="K118"/>
    </row>
    <row r="119" ht="12.75">
      <c r="H119" s="18" t="s">
        <v>83</v>
      </c>
    </row>
    <row r="120" spans="1:10" ht="12.75">
      <c r="A120" s="360" t="s">
        <v>88</v>
      </c>
      <c r="B120" s="360"/>
      <c r="C120" s="360"/>
      <c r="D120" s="360"/>
      <c r="E120" s="5" t="s">
        <v>89</v>
      </c>
      <c r="F120" s="5" t="s">
        <v>123</v>
      </c>
      <c r="G120" s="27">
        <f>2*Polars!$G$39*Ranges!G101/(9.81*Ranges!$G$15*Ranges!G95)*ATAN(Ranges!H109^0.5*(Polars!$G$18-Ranges!$G$24)/(Ranges!H109+Polars!$G$18*Ranges!$G$24))/3600</f>
        <v>2.2133485312383376</v>
      </c>
      <c r="H120" s="98">
        <f>H109</f>
        <v>14830039.601555096</v>
      </c>
      <c r="I120" s="13"/>
      <c r="J120" s="13"/>
    </row>
    <row r="121" ht="12.75">
      <c r="G121" s="14"/>
    </row>
  </sheetData>
  <sheetProtection/>
  <mergeCells count="89">
    <mergeCell ref="A111:D111"/>
    <mergeCell ref="A116:D116"/>
    <mergeCell ref="A120:D120"/>
    <mergeCell ref="F104:F106"/>
    <mergeCell ref="A104:D106"/>
    <mergeCell ref="E104:E106"/>
    <mergeCell ref="G104:G106"/>
    <mergeCell ref="A108:D109"/>
    <mergeCell ref="E108:E109"/>
    <mergeCell ref="F108:F109"/>
    <mergeCell ref="G108:G109"/>
    <mergeCell ref="A98:D98"/>
    <mergeCell ref="A99:D99"/>
    <mergeCell ref="A100:D100"/>
    <mergeCell ref="A101:D101"/>
    <mergeCell ref="A102:D102"/>
    <mergeCell ref="A103:D103"/>
    <mergeCell ref="A88:D88"/>
    <mergeCell ref="A92:G92"/>
    <mergeCell ref="A94:D94"/>
    <mergeCell ref="A95:D95"/>
    <mergeCell ref="A96:D96"/>
    <mergeCell ref="A97:D97"/>
    <mergeCell ref="A76:D77"/>
    <mergeCell ref="E76:E77"/>
    <mergeCell ref="F76:F77"/>
    <mergeCell ref="G76:G77"/>
    <mergeCell ref="A79:D79"/>
    <mergeCell ref="A84:D84"/>
    <mergeCell ref="A70:D70"/>
    <mergeCell ref="A71:D71"/>
    <mergeCell ref="A72:D74"/>
    <mergeCell ref="E72:E74"/>
    <mergeCell ref="F72:F74"/>
    <mergeCell ref="G72:G74"/>
    <mergeCell ref="A64:D64"/>
    <mergeCell ref="A65:D65"/>
    <mergeCell ref="A66:D66"/>
    <mergeCell ref="A67:D67"/>
    <mergeCell ref="A68:D68"/>
    <mergeCell ref="A69:D69"/>
    <mergeCell ref="A47:D47"/>
    <mergeCell ref="A52:D52"/>
    <mergeCell ref="A56:D56"/>
    <mergeCell ref="A60:G60"/>
    <mergeCell ref="A62:D62"/>
    <mergeCell ref="A63:D63"/>
    <mergeCell ref="E40:E42"/>
    <mergeCell ref="F40:F42"/>
    <mergeCell ref="G40:G42"/>
    <mergeCell ref="A39:D39"/>
    <mergeCell ref="A44:D45"/>
    <mergeCell ref="E44:E45"/>
    <mergeCell ref="F44:F45"/>
    <mergeCell ref="G44:G45"/>
    <mergeCell ref="A34:D34"/>
    <mergeCell ref="A35:D35"/>
    <mergeCell ref="A37:D37"/>
    <mergeCell ref="A36:D36"/>
    <mergeCell ref="A38:D38"/>
    <mergeCell ref="A40:D42"/>
    <mergeCell ref="A28:G28"/>
    <mergeCell ref="A30:D30"/>
    <mergeCell ref="A31:D31"/>
    <mergeCell ref="A24:D24"/>
    <mergeCell ref="A32:D32"/>
    <mergeCell ref="A33:D33"/>
    <mergeCell ref="A13:D14"/>
    <mergeCell ref="A15:D15"/>
    <mergeCell ref="A19:G19"/>
    <mergeCell ref="A21:D21"/>
    <mergeCell ref="A22:D22"/>
    <mergeCell ref="A23:D23"/>
    <mergeCell ref="F7:F8"/>
    <mergeCell ref="G7:G8"/>
    <mergeCell ref="A9:D9"/>
    <mergeCell ref="A12:D12"/>
    <mergeCell ref="A11:D11"/>
    <mergeCell ref="A10:D10"/>
    <mergeCell ref="A1:G1"/>
    <mergeCell ref="A3:D3"/>
    <mergeCell ref="E13:E14"/>
    <mergeCell ref="F13:F14"/>
    <mergeCell ref="G13:G14"/>
    <mergeCell ref="A4:D4"/>
    <mergeCell ref="A5:D5"/>
    <mergeCell ref="A6:D6"/>
    <mergeCell ref="A7:D8"/>
    <mergeCell ref="E7:E8"/>
  </mergeCells>
  <conditionalFormatting sqref="K13">
    <cfRule type="cellIs" priority="1" dxfId="3" operator="notEqual" stopIfTrue="1">
      <formula>#REF!</formula>
    </cfRule>
  </conditionalFormatting>
  <dataValidations count="3">
    <dataValidation errorStyle="information" allowBlank="1" showInputMessage="1" showErrorMessage="1" errorTitle="Wert für PS" error="Der eingegebene Wert stimmt nicht mit dem ermittelten Wert der genannten Drehzahl überein!" sqref="K13"/>
    <dataValidation type="custom" allowBlank="1" showInputMessage="1" sqref="G93 G61 G29">
      <formula1>$A$7*$C$3</formula1>
    </dataValidation>
    <dataValidation type="list" allowBlank="1" showInputMessage="1" sqref="L13">
      <formula1>$L$8</formula1>
    </dataValidation>
  </dataValidations>
  <printOptions/>
  <pageMargins left="0.787401575" right="0.787401575" top="0.984251969" bottom="0.984251969" header="0.4921259845" footer="0.4921259845"/>
  <pageSetup orientation="portrait" paperSize="9" scale="46" r:id="rId20"/>
  <colBreaks count="1" manualBreakCount="1">
    <brk id="16" max="65535" man="1"/>
  </colBreaks>
  <drawing r:id="rId19"/>
  <legacyDrawing r:id="rId18"/>
  <oleObjects>
    <oleObject progId="Equation.DSMT4" shapeId="68315" r:id="rId1"/>
    <oleObject progId="Equation.DSMT4" shapeId="68316" r:id="rId2"/>
    <oleObject progId="Equation.DSMT4" shapeId="68317" r:id="rId3"/>
    <oleObject progId="Equation.DSMT4" shapeId="68318" r:id="rId4"/>
    <oleObject progId="Equation.DSMT4" shapeId="68319" r:id="rId5"/>
    <oleObject progId="Equation.DSMT4" shapeId="68320" r:id="rId6"/>
    <oleObject progId="Equation.DSMT4" shapeId="68321" r:id="rId7"/>
    <oleObject progId="Equation.DSMT4" shapeId="68322" r:id="rId8"/>
    <oleObject progId="Equation.DSMT4" shapeId="68323" r:id="rId9"/>
    <oleObject progId="Equation.DSMT4" shapeId="68324" r:id="rId10"/>
    <oleObject progId="Equation.DSMT4" shapeId="68325" r:id="rId11"/>
    <oleObject progId="Equation.DSMT4" shapeId="68326" r:id="rId12"/>
    <oleObject progId="Equation.DSMT4" shapeId="68327" r:id="rId13"/>
    <oleObject progId="Equation.DSMT4" shapeId="68328" r:id="rId14"/>
    <oleObject progId="Equation.DSMT4" shapeId="68329" r:id="rId15"/>
    <oleObject progId="Equation.DSMT4" shapeId="68330" r:id="rId16"/>
    <oleObject progId="Equation.DSMT4" shapeId="68331" r:id="rId17"/>
  </oleObjects>
</worksheet>
</file>

<file path=xl/worksheets/sheet3.xml><?xml version="1.0" encoding="utf-8"?>
<worksheet xmlns="http://schemas.openxmlformats.org/spreadsheetml/2006/main" xmlns:r="http://schemas.openxmlformats.org/officeDocument/2006/relationships">
  <sheetPr>
    <pageSetUpPr fitToPage="1"/>
  </sheetPr>
  <dimension ref="A1:X78"/>
  <sheetViews>
    <sheetView zoomScalePageLayoutView="0" workbookViewId="0" topLeftCell="A1">
      <selection activeCell="A1" sqref="A1:F1"/>
    </sheetView>
  </sheetViews>
  <sheetFormatPr defaultColWidth="11.421875" defaultRowHeight="12.75"/>
  <cols>
    <col min="10" max="10" width="5.7109375" style="0" bestFit="1" customWidth="1"/>
    <col min="11" max="12" width="5.7109375" style="0" hidden="1" customWidth="1"/>
    <col min="13" max="13" width="4.00390625" style="0" hidden="1" customWidth="1"/>
    <col min="14" max="14" width="4.421875" style="0" hidden="1" customWidth="1"/>
    <col min="15" max="15" width="6.140625" style="0" hidden="1" customWidth="1"/>
    <col min="16" max="16" width="4.28125" style="0" hidden="1" customWidth="1"/>
    <col min="17" max="17" width="6.140625" style="0" hidden="1" customWidth="1"/>
    <col min="18" max="18" width="7.8515625" style="0" hidden="1" customWidth="1"/>
    <col min="19" max="19" width="8.421875" style="0" bestFit="1" customWidth="1"/>
    <col min="20" max="20" width="6.140625" style="0" bestFit="1" customWidth="1"/>
    <col min="21" max="21" width="4.140625" style="0" bestFit="1" customWidth="1"/>
    <col min="22" max="22" width="6.140625" style="0" bestFit="1" customWidth="1"/>
    <col min="23" max="23" width="7.421875" style="0" bestFit="1" customWidth="1"/>
  </cols>
  <sheetData>
    <row r="1" spans="1:6" ht="18">
      <c r="A1" s="409" t="s">
        <v>281</v>
      </c>
      <c r="B1" s="409"/>
      <c r="C1" s="409"/>
      <c r="D1" s="409"/>
      <c r="E1" s="409"/>
      <c r="F1" s="409"/>
    </row>
    <row r="3" spans="10:23" ht="27.75" customHeight="1">
      <c r="J3" s="49" t="s">
        <v>239</v>
      </c>
      <c r="K3" s="4" t="s">
        <v>39</v>
      </c>
      <c r="L3" s="4" t="s">
        <v>40</v>
      </c>
      <c r="M3" s="4" t="s">
        <v>42</v>
      </c>
      <c r="N3" s="4" t="s">
        <v>93</v>
      </c>
      <c r="O3" s="4" t="s">
        <v>75</v>
      </c>
      <c r="P3" s="100" t="s">
        <v>59</v>
      </c>
      <c r="Q3" s="4" t="s">
        <v>78</v>
      </c>
      <c r="R3" s="4" t="s">
        <v>83</v>
      </c>
      <c r="S3" s="49" t="s">
        <v>299</v>
      </c>
      <c r="T3" s="49" t="s">
        <v>300</v>
      </c>
      <c r="U3" s="49" t="s">
        <v>301</v>
      </c>
      <c r="V3" s="49" t="s">
        <v>302</v>
      </c>
      <c r="W3" s="49" t="s">
        <v>303</v>
      </c>
    </row>
    <row r="4" spans="10:23" ht="9" customHeight="1">
      <c r="J4" s="101">
        <v>20</v>
      </c>
      <c r="K4" s="54">
        <f>2*Polars!$G$18*9.81/(1.225*J4^2*Polars!$G$13)</f>
        <v>1.8200371057513915</v>
      </c>
      <c r="L4" s="102">
        <f>Polars!$G$19+'Plots vs Speed'!K4^2/(PI()*Polars!$G$24*Polars!$G$28)</f>
        <v>0.09324303103598748</v>
      </c>
      <c r="M4" s="52">
        <f aca="true" t="shared" si="0" ref="M4:M34">K4/L4</f>
        <v>19.51928294833039</v>
      </c>
      <c r="N4" s="50">
        <f>0.5*1.225*J4^2*L4*Polars!$G$13</f>
        <v>427.1929466913767</v>
      </c>
      <c r="O4" s="50">
        <f aca="true" t="shared" si="1" ref="O4:O34">N4*J4</f>
        <v>8543.858933827534</v>
      </c>
      <c r="P4" s="53">
        <f>1.6/(1+(1+4*L4*Polars!$G$13/(Polars!$G$17^2*PI()))^0.5)</f>
        <v>0.6867736447089975</v>
      </c>
      <c r="Q4" s="50">
        <f aca="true" t="shared" si="2" ref="Q4:Q34">O4/P4</f>
        <v>12440.57485264708</v>
      </c>
      <c r="R4" s="50">
        <f>Polars!$G$19*1.225^2*Polars!$G$13^2*'Plots vs Speed'!J4^4*PI()*Polars!$G$24*Polars!$G$28/(4*9.81^2)</f>
        <v>104680.53425262147</v>
      </c>
      <c r="S4" s="50">
        <f>P4*M4/(Ranges!$G$15*9.81)*LN(Polars!$G$18/Ranges!$G$24)/1000</f>
        <v>791.4047280088022</v>
      </c>
      <c r="T4" s="50">
        <f>2*Polars!$G$39*'Plots vs Speed'!P4/(9.81*Ranges!$G$15)*ATAN(R4^0.5*(Polars!$G$18-Ranges!$G$24)/('Plots vs Speed'!R4+Polars!$G$18*Ranges!$G$24))/1000</f>
        <v>814.3715567439629</v>
      </c>
      <c r="U4" s="52">
        <f>2*P4*M4/(Ranges!$G$15*9.81*J4)*((Polars!$G$18/Ranges!$G$24)^0.5-1)/3600</f>
        <v>11.207377902948165</v>
      </c>
      <c r="V4" s="52">
        <f>P4*M4/(Ranges!$G$15*9.81*J4)*LN(Polars!$G$18/Ranges!$G$24)/3600</f>
        <v>10.991732333455586</v>
      </c>
      <c r="W4" s="52">
        <f>2*Polars!$G$39*'Plots vs Speed'!P4/(9.81*Ranges!$G$15*'Plots vs Speed'!J4)*ATAN('Plots vs Speed'!R4^0.5*(Polars!$G$18-Ranges!$G$24)/('Plots vs Speed'!R4+Polars!$G$18*Ranges!$G$24))/3600</f>
        <v>11.310716065888373</v>
      </c>
    </row>
    <row r="5" spans="10:23" ht="9" customHeight="1">
      <c r="J5" s="101">
        <v>22</v>
      </c>
      <c r="K5" s="54">
        <f>2*Polars!$G$18*9.81/(1.225*J5^2*Polars!$G$13)</f>
        <v>1.5041628973151995</v>
      </c>
      <c r="L5" s="102">
        <f>Polars!$G$19+'Plots vs Speed'!K5^2/(PI()*Polars!$G$24*Polars!$G$28)</f>
        <v>0.06742668604329449</v>
      </c>
      <c r="M5" s="52">
        <f t="shared" si="0"/>
        <v>22.30812435820115</v>
      </c>
      <c r="N5" s="50">
        <f>0.5*1.225*J5^2*L5*Polars!$G$13</f>
        <v>373.78758814989806</v>
      </c>
      <c r="O5" s="50">
        <f t="shared" si="1"/>
        <v>8223.326939297756</v>
      </c>
      <c r="P5" s="53">
        <f>1.6/(1+(1+4*L5*Polars!$G$13/(Polars!$G$17^2*PI()))^0.5)</f>
        <v>0.711997882341493</v>
      </c>
      <c r="Q5" s="50">
        <f t="shared" si="2"/>
        <v>11549.65083920521</v>
      </c>
      <c r="R5" s="50">
        <f>Polars!$G$19*1.225^2*Polars!$G$13^2*'Plots vs Speed'!J5^4*PI()*Polars!$G$24*Polars!$G$28/(4*9.81^2)</f>
        <v>153262.7701992631</v>
      </c>
      <c r="S5" s="50">
        <f>P5*M5/(Ranges!$G$15*9.81)*LN(Polars!$G$18/Ranges!$G$24)/1000</f>
        <v>937.6978476719738</v>
      </c>
      <c r="T5" s="50">
        <f>2*Polars!$G$39*'Plots vs Speed'!P5/(9.81*Ranges!$G$15)*ATAN(R5^0.5*(Polars!$G$18-Ranges!$G$24)/('Plots vs Speed'!R5+Polars!$G$18*Ranges!$G$24))/1000</f>
        <v>961.130094402647</v>
      </c>
      <c r="U5" s="52">
        <f>2*P5*M5/(Ranges!$G$15*9.81*J5)*((Polars!$G$18/Ranges!$G$24)^0.5-1)/3600</f>
        <v>12.071899457795567</v>
      </c>
      <c r="V5" s="52">
        <f>P5*M5/(Ranges!$G$15*9.81*J5)*LN(Polars!$G$18/Ranges!$G$24)/3600</f>
        <v>11.83961928878755</v>
      </c>
      <c r="W5" s="52">
        <f>2*Polars!$G$39*'Plots vs Speed'!P5/(9.81*Ranges!$G$15*'Plots vs Speed'!J5)*ATAN('Plots vs Speed'!R5^0.5*(Polars!$G$18-Ranges!$G$24)/('Plots vs Speed'!R5+Polars!$G$18*Ranges!$G$24))/3600</f>
        <v>12.135480989932411</v>
      </c>
    </row>
    <row r="6" spans="10:23" ht="9" customHeight="1">
      <c r="J6" s="101">
        <v>24</v>
      </c>
      <c r="K6" s="54">
        <f>2*Polars!$G$18*9.81/(1.225*J6^2*Polars!$G$13)</f>
        <v>1.2639146567717996</v>
      </c>
      <c r="L6" s="102">
        <f>Polars!$G$19+'Plots vs Speed'!K6^2/(PI()*Polars!$G$24*Polars!$G$28)</f>
        <v>0.05107615308448469</v>
      </c>
      <c r="M6" s="52">
        <f t="shared" si="0"/>
        <v>24.745690120420143</v>
      </c>
      <c r="N6" s="50">
        <f>0.5*1.225*J6^2*L6*Polars!$G$13</f>
        <v>336.9677693134559</v>
      </c>
      <c r="O6" s="50">
        <f t="shared" si="1"/>
        <v>8087.226463522942</v>
      </c>
      <c r="P6" s="53">
        <f>1.6/(1+(1+4*L6*Polars!$G$13/(Polars!$G$17^2*PI()))^0.5)</f>
        <v>0.7299364435482085</v>
      </c>
      <c r="Q6" s="50">
        <f t="shared" si="2"/>
        <v>11079.35702485421</v>
      </c>
      <c r="R6" s="50">
        <f>Polars!$G$19*1.225^2*Polars!$G$13^2*'Plots vs Speed'!J6^4*PI()*Polars!$G$24*Polars!$G$28/(4*9.81^2)</f>
        <v>217065.5558262359</v>
      </c>
      <c r="S6" s="50">
        <f>P6*M6/(Ranges!$G$15*9.81)*LN(Polars!$G$18/Ranges!$G$24)/1000</f>
        <v>1066.3647432369144</v>
      </c>
      <c r="T6" s="50">
        <f>2*Polars!$G$39*'Plots vs Speed'!P6/(9.81*Ranges!$G$15)*ATAN(R6^0.5*(Polars!$G$18-Ranges!$G$24)/('Plots vs Speed'!R6+Polars!$G$18*Ranges!$G$24))/1000</f>
        <v>1088.0978233150336</v>
      </c>
      <c r="U6" s="52">
        <f>2*P6*M6/(Ranges!$G$15*9.81*J6)*((Polars!$G$18/Ranges!$G$24)^0.5-1)/3600</f>
        <v>12.58432446853694</v>
      </c>
      <c r="V6" s="52">
        <f>P6*M6/(Ranges!$G$15*9.81*J6)*LN(Polars!$G$18/Ranges!$G$24)/3600</f>
        <v>12.342184528205026</v>
      </c>
      <c r="W6" s="52">
        <f>2*Polars!$G$39*'Plots vs Speed'!P6/(9.81*Ranges!$G$15*'Plots vs Speed'!J6)*ATAN('Plots vs Speed'!R6^0.5*(Polars!$G$18-Ranges!$G$24)/('Plots vs Speed'!R6+Polars!$G$18*Ranges!$G$24))/3600</f>
        <v>12.59372480688696</v>
      </c>
    </row>
    <row r="7" spans="10:23" ht="9" customHeight="1">
      <c r="J7" s="101">
        <v>26</v>
      </c>
      <c r="K7" s="54">
        <f>2*Polars!$G$18*9.81/(1.225*J7^2*Polars!$G$13)</f>
        <v>1.0769450329889891</v>
      </c>
      <c r="L7" s="102">
        <f>Polars!$G$19+'Plots vs Speed'!K7^2/(PI()*Polars!$G$24*Polars!$G$28)</f>
        <v>0.04031546900878383</v>
      </c>
      <c r="M7" s="52">
        <f t="shared" si="0"/>
        <v>26.71294814291624</v>
      </c>
      <c r="N7" s="50">
        <f>0.5*1.225*J7^2*L7*Polars!$G$13</f>
        <v>312.1519929357259</v>
      </c>
      <c r="O7" s="50">
        <f t="shared" si="1"/>
        <v>8115.951816328873</v>
      </c>
      <c r="P7" s="53">
        <f>1.6/(1+(1+4*L7*Polars!$G$13/(Polars!$G$17^2*PI()))^0.5)</f>
        <v>0.7427402394812406</v>
      </c>
      <c r="Q7" s="50">
        <f t="shared" si="2"/>
        <v>10927.03934015663</v>
      </c>
      <c r="R7" s="50">
        <f>Polars!$G$19*1.225^2*Polars!$G$13^2*'Plots vs Speed'!J7^4*PI()*Polars!$G$24*Polars!$G$28/(4*9.81^2)</f>
        <v>298978.07387891226</v>
      </c>
      <c r="S7" s="50">
        <f>P7*M7/(Ranges!$G$15*9.81)*LN(Polars!$G$18/Ranges!$G$24)/1000</f>
        <v>1171.3318023625354</v>
      </c>
      <c r="T7" s="50">
        <f>2*Polars!$G$39*'Plots vs Speed'!P7/(9.81*Ranges!$G$15)*ATAN(R7^0.5*(Polars!$G$18-Ranges!$G$24)/('Plots vs Speed'!R7+Polars!$G$18*Ranges!$G$24))/1000</f>
        <v>1189.3368605486548</v>
      </c>
      <c r="U7" s="52">
        <f>2*P7*M7/(Ranges!$G$15*9.81*J7)*((Polars!$G$18/Ranges!$G$24)^0.5-1)/3600</f>
        <v>12.759743912620609</v>
      </c>
      <c r="V7" s="52">
        <f>P7*M7/(Ranges!$G$15*9.81*J7)*LN(Polars!$G$18/Ranges!$G$24)/3600</f>
        <v>12.514228657719393</v>
      </c>
      <c r="W7" s="52">
        <f>2*Polars!$G$39*'Plots vs Speed'!P7/(9.81*Ranges!$G$15*'Plots vs Speed'!J7)*ATAN('Plots vs Speed'!R7^0.5*(Polars!$G$18-Ranges!$G$24)/('Plots vs Speed'!R7+Polars!$G$18*Ranges!$G$24))/3600</f>
        <v>12.70659039047708</v>
      </c>
    </row>
    <row r="8" spans="10:23" ht="9" customHeight="1">
      <c r="J8" s="101">
        <v>28</v>
      </c>
      <c r="K8" s="54">
        <f>2*Polars!$G$18*9.81/(1.225*J8^2*Polars!$G$13)</f>
        <v>0.9285903600772406</v>
      </c>
      <c r="L8" s="102">
        <f>Polars!$G$19+'Plots vs Speed'!K8^2/(PI()*Polars!$G$24*Polars!$G$28)</f>
        <v>0.033000289211783496</v>
      </c>
      <c r="M8" s="52">
        <f t="shared" si="0"/>
        <v>28.13885521177998</v>
      </c>
      <c r="N8" s="50">
        <f>0.5*1.225*J8^2*L8*Polars!$G$13</f>
        <v>296.3340170466208</v>
      </c>
      <c r="O8" s="50">
        <f t="shared" si="1"/>
        <v>8297.352477305381</v>
      </c>
      <c r="P8" s="53">
        <f>1.6/(1+(1+4*L8*Polars!$G$13/(Polars!$G$17^2*PI()))^0.5)</f>
        <v>0.7519592025936379</v>
      </c>
      <c r="Q8" s="50">
        <f t="shared" si="2"/>
        <v>11034.312032735781</v>
      </c>
      <c r="R8" s="50">
        <f>Polars!$G$19*1.225^2*Polars!$G$13^2*'Plots vs Speed'!J8^4*PI()*Polars!$G$24*Polars!$G$28/(4*9.81^2)</f>
        <v>402140.7403848706</v>
      </c>
      <c r="S8" s="50">
        <f>P8*M8/(Ranges!$G$15*9.81)*LN(Polars!$G$18/Ranges!$G$24)/1000</f>
        <v>1249.1709152009335</v>
      </c>
      <c r="T8" s="50">
        <f>2*Polars!$G$39*'Plots vs Speed'!P8/(9.81*Ranges!$G$15)*ATAN(R8^0.5*(Polars!$G$18-Ranges!$G$24)/('Plots vs Speed'!R8+Polars!$G$18*Ranges!$G$24))/1000</f>
        <v>1261.8767313054032</v>
      </c>
      <c r="U8" s="52">
        <f>2*P8*M8/(Ranges!$G$15*9.81*J8)*((Polars!$G$18/Ranges!$G$24)^0.5-1)/3600</f>
        <v>12.635697023057721</v>
      </c>
      <c r="V8" s="52">
        <f>P8*M8/(Ranges!$G$15*9.81*J8)*LN(Polars!$G$18/Ranges!$G$24)/3600</f>
        <v>12.392568603183864</v>
      </c>
      <c r="W8" s="52">
        <f>2*Polars!$G$39*'Plots vs Speed'!P8/(9.81*Ranges!$G$15*'Plots vs Speed'!J8)*ATAN('Plots vs Speed'!R8^0.5*(Polars!$G$18-Ranges!$G$24)/('Plots vs Speed'!R8+Polars!$G$18*Ranges!$G$24))/3600</f>
        <v>12.518618366125033</v>
      </c>
    </row>
    <row r="9" spans="10:23" ht="9" customHeight="1">
      <c r="J9" s="101">
        <v>30</v>
      </c>
      <c r="K9" s="54">
        <f>2*Polars!$G$18*9.81/(1.225*J9^2*Polars!$G$13)</f>
        <v>0.8089053803339518</v>
      </c>
      <c r="L9" s="102">
        <f>Polars!$G$19+'Plots vs Speed'!K9^2/(PI()*Polars!$G$24*Polars!$G$28)</f>
        <v>0.02788751230340493</v>
      </c>
      <c r="M9" s="52">
        <f t="shared" si="0"/>
        <v>29.00600711649667</v>
      </c>
      <c r="N9" s="50">
        <f>0.5*1.225*J9^2*L9*Polars!$G$13</f>
        <v>287.47493464061176</v>
      </c>
      <c r="O9" s="50">
        <f t="shared" si="1"/>
        <v>8624.248039218353</v>
      </c>
      <c r="P9" s="53">
        <f>1.6/(1+(1+4*L9*Polars!$G$13/(Polars!$G$17^2*PI()))^0.5)</f>
        <v>0.7586739391235695</v>
      </c>
      <c r="Q9" s="50">
        <f t="shared" si="2"/>
        <v>11367.529045720488</v>
      </c>
      <c r="R9" s="50">
        <f>Polars!$G$19*1.225^2*Polars!$G$13^2*'Plots vs Speed'!J9^4*PI()*Polars!$G$24*Polars!$G$28/(4*9.81^2)</f>
        <v>529945.2046538963</v>
      </c>
      <c r="S9" s="50">
        <f>P9*M9/(Ranges!$G$15*9.81)*LN(Polars!$G$18/Ranges!$G$24)/1000</f>
        <v>1299.1648912353776</v>
      </c>
      <c r="T9" s="50">
        <f>2*Polars!$G$39*'Plots vs Speed'!P9/(9.81*Ranges!$G$15)*ATAN(R9^0.5*(Polars!$G$18-Ranges!$G$24)/('Plots vs Speed'!R9+Polars!$G$18*Ranges!$G$24))/1000</f>
        <v>1305.6462959298647</v>
      </c>
      <c r="U9" s="52">
        <f>2*P9*M9/(Ranges!$G$15*9.81*J9)*((Polars!$G$18/Ranges!$G$24)^0.5-1)/3600</f>
        <v>12.265306131416397</v>
      </c>
      <c r="V9" s="52">
        <f>P9*M9/(Ranges!$G$15*9.81*J9)*LN(Polars!$G$18/Ranges!$G$24)/3600</f>
        <v>12.02930454847572</v>
      </c>
      <c r="W9" s="52">
        <f>2*Polars!$G$39*'Plots vs Speed'!P9/(9.81*Ranges!$G$15*'Plots vs Speed'!J9)*ATAN('Plots vs Speed'!R9^0.5*(Polars!$G$18-Ranges!$G$24)/('Plots vs Speed'!R9+Polars!$G$18*Ranges!$G$24))/3600</f>
        <v>12.089317554906156</v>
      </c>
    </row>
    <row r="10" spans="10:23" ht="9" customHeight="1">
      <c r="J10" s="101">
        <v>32</v>
      </c>
      <c r="K10" s="54">
        <f>2*Polars!$G$18*9.81/(1.225*J10^2*Polars!$G$13)</f>
        <v>0.7109519944341373</v>
      </c>
      <c r="L10" s="102">
        <f>Polars!$G$19+'Plots vs Speed'!K10^2/(PI()*Polars!$G$24*Polars!$G$28)</f>
        <v>0.02422722031188774</v>
      </c>
      <c r="M10" s="52">
        <f t="shared" si="0"/>
        <v>29.345173952345228</v>
      </c>
      <c r="N10" s="50">
        <f>0.5*1.225*J10^2*L10*Polars!$G$13</f>
        <v>284.152345238819</v>
      </c>
      <c r="O10" s="50">
        <f t="shared" si="1"/>
        <v>9092.875047642208</v>
      </c>
      <c r="P10" s="53">
        <f>1.6/(1+(1+4*L10*Polars!$G$13/(Polars!$G$17^2*PI()))^0.5)</f>
        <v>0.7636276942188943</v>
      </c>
      <c r="Q10" s="50">
        <f t="shared" si="2"/>
        <v>11907.471555157781</v>
      </c>
      <c r="R10" s="50">
        <f>Polars!$G$19*1.225^2*Polars!$G$13^2*'Plots vs Speed'!J10^4*PI()*Polars!$G$24*Polars!$G$28/(4*9.81^2)</f>
        <v>686034.3492779802</v>
      </c>
      <c r="S10" s="50">
        <f>P10*M10/(Ranges!$G$15*9.81)*LN(Polars!$G$18/Ranges!$G$24)/1000</f>
        <v>1322.9380846371419</v>
      </c>
      <c r="T10" s="50">
        <f>2*Polars!$G$39*'Plots vs Speed'!P10/(9.81*Ranges!$G$15)*ATAN(R10^0.5*(Polars!$G$18-Ranges!$G$24)/('Plots vs Speed'!R10+Polars!$G$18*Ranges!$G$24))/1000</f>
        <v>1322.941969329633</v>
      </c>
      <c r="U10" s="52">
        <f>2*P10*M10/(Ranges!$G$15*9.81*J10)*((Polars!$G$18/Ranges!$G$24)^0.5-1)/3600</f>
        <v>11.709137666857268</v>
      </c>
      <c r="V10" s="52">
        <f>P10*M10/(Ranges!$G$15*9.81*J10)*LN(Polars!$G$18/Ranges!$G$24)/3600</f>
        <v>11.483837540252967</v>
      </c>
      <c r="W10" s="52">
        <f>2*Polars!$G$39*'Plots vs Speed'!P10/(9.81*Ranges!$G$15*'Plots vs Speed'!J10)*ATAN('Plots vs Speed'!R10^0.5*(Polars!$G$18-Ranges!$G$24)/('Plots vs Speed'!R10+Polars!$G$18*Ranges!$G$24))/3600</f>
        <v>11.483871261541951</v>
      </c>
    </row>
    <row r="11" spans="10:23" ht="9" customHeight="1">
      <c r="J11" s="101">
        <v>34</v>
      </c>
      <c r="K11" s="54">
        <f>2*Polars!$G$18*9.81/(1.225*J11^2*Polars!$G$13)</f>
        <v>0.629770624827471</v>
      </c>
      <c r="L11" s="102">
        <f>Polars!$G$19+'Plots vs Speed'!K11^2/(PI()*Polars!$G$24*Polars!$G$28)</f>
        <v>0.021551204012881485</v>
      </c>
      <c r="M11" s="52">
        <f t="shared" si="0"/>
        <v>29.222062231467323</v>
      </c>
      <c r="N11" s="50">
        <f>0.5*1.225*J11^2*L11*Polars!$G$13</f>
        <v>285.3494710246978</v>
      </c>
      <c r="O11" s="50">
        <f t="shared" si="1"/>
        <v>9701.882014839724</v>
      </c>
      <c r="P11" s="53">
        <f>1.6/(1+(1+4*L11*Polars!$G$13/(Polars!$G$17^2*PI()))^0.5)</f>
        <v>0.7673306472090714</v>
      </c>
      <c r="Q11" s="50">
        <f t="shared" si="2"/>
        <v>12643.678510857515</v>
      </c>
      <c r="R11" s="50">
        <f>Polars!$G$19*1.225^2*Polars!$G$13^2*'Plots vs Speed'!J11^4*PI()*Polars!$G$24*Polars!$G$28/(4*9.81^2)</f>
        <v>874302.2901313199</v>
      </c>
      <c r="S11" s="50">
        <f>P11*M11/(Ranges!$G$15*9.81)*LN(Polars!$G$18/Ranges!$G$24)/1000</f>
        <v>1323.7761916701688</v>
      </c>
      <c r="T11" s="50">
        <f>2*Polars!$G$39*'Plots vs Speed'!P11/(9.81*Ranges!$G$15)*ATAN(R11^0.5*(Polars!$G$18-Ranges!$G$24)/('Plots vs Speed'!R11+Polars!$G$18*Ranges!$G$24))/1000</f>
        <v>1317.6156563181362</v>
      </c>
      <c r="U11" s="52">
        <f>2*P11*M11/(Ranges!$G$15*9.81*J11)*((Polars!$G$18/Ranges!$G$24)^0.5-1)/3600</f>
        <v>11.0273464786217</v>
      </c>
      <c r="V11" s="52">
        <f>P11*M11/(Ranges!$G$15*9.81*J11)*LN(Polars!$G$18/Ranges!$G$24)/3600</f>
        <v>10.815164964625565</v>
      </c>
      <c r="W11" s="52">
        <f>2*Polars!$G$39*'Plots vs Speed'!P11/(9.81*Ranges!$G$15*'Plots vs Speed'!J11)*ATAN('Plots vs Speed'!R11^0.5*(Polars!$G$18-Ranges!$G$24)/('Plots vs Speed'!R11+Polars!$G$18*Ranges!$G$24))/3600</f>
        <v>10.764833793448826</v>
      </c>
    </row>
    <row r="12" spans="10:23" ht="9" customHeight="1">
      <c r="J12" s="101">
        <v>36</v>
      </c>
      <c r="K12" s="54">
        <f>2*Polars!$G$18*9.81/(1.225*J12^2*Polars!$G$13)</f>
        <v>0.5617398474541331</v>
      </c>
      <c r="L12" s="102">
        <f>Polars!$G$19+'Plots vs Speed'!K12^2/(PI()*Polars!$G$24*Polars!$G$28)</f>
        <v>0.019558252461132776</v>
      </c>
      <c r="M12" s="52">
        <f t="shared" si="0"/>
        <v>28.72137214561746</v>
      </c>
      <c r="N12" s="50">
        <f>0.5*1.225*J12^2*L12*Polars!$G$13</f>
        <v>290.3238730282026</v>
      </c>
      <c r="O12" s="50">
        <f t="shared" si="1"/>
        <v>10451.659429015295</v>
      </c>
      <c r="P12" s="53">
        <f>1.6/(1+(1+4*L12*Polars!$G$13/(Polars!$G$17^2*PI()))^0.5)</f>
        <v>0.7701346710297656</v>
      </c>
      <c r="Q12" s="50">
        <f t="shared" si="2"/>
        <v>13571.210104123906</v>
      </c>
      <c r="R12" s="50">
        <f>Polars!$G$19*1.225^2*Polars!$G$13^2*'Plots vs Speed'!J12^4*PI()*Polars!$G$24*Polars!$G$28/(4*9.81^2)</f>
        <v>1098894.3763703192</v>
      </c>
      <c r="S12" s="50">
        <f>P12*M12/(Ranges!$G$15*9.81)*LN(Polars!$G$18/Ranges!$G$24)/1000</f>
        <v>1305.8491783406216</v>
      </c>
      <c r="T12" s="50">
        <f>2*Polars!$G$39*'Plots vs Speed'!P12/(9.81*Ranges!$G$15)*ATAN(R12^0.5*(Polars!$G$18-Ranges!$G$24)/('Plots vs Speed'!R12+Polars!$G$18*Ranges!$G$24))/1000</f>
        <v>1294.228637461532</v>
      </c>
      <c r="U12" s="52">
        <f>2*P12*M12/(Ranges!$G$15*9.81*J12)*((Polars!$G$18/Ranges!$G$24)^0.5-1)/3600</f>
        <v>10.27367660170273</v>
      </c>
      <c r="V12" s="52">
        <f>P12*M12/(Ranges!$G$15*9.81*J12)*LN(Polars!$G$18/Ranges!$G$24)/3600</f>
        <v>10.075996746455413</v>
      </c>
      <c r="W12" s="52">
        <f>2*Polars!$G$39*'Plots vs Speed'!P12/(9.81*Ranges!$G$15*'Plots vs Speed'!J12)*ATAN('Plots vs Speed'!R12^0.5*(Polars!$G$18-Ranges!$G$24)/('Plots vs Speed'!R12+Polars!$G$18*Ranges!$G$24))/3600</f>
        <v>9.986332079178487</v>
      </c>
    </row>
    <row r="13" spans="10:23" ht="9" customHeight="1">
      <c r="J13" s="101">
        <v>38</v>
      </c>
      <c r="K13" s="54">
        <f>2*Polars!$G$18*9.81/(1.225*J13^2*Polars!$G$13)</f>
        <v>0.5041654032552331</v>
      </c>
      <c r="L13" s="102">
        <f>Polars!$G$19+'Plots vs Speed'!K13^2/(PI()*Polars!$G$24*Polars!$G$28)</f>
        <v>0.018049417287773074</v>
      </c>
      <c r="M13" s="52">
        <f t="shared" si="0"/>
        <v>27.932503039683265</v>
      </c>
      <c r="N13" s="50">
        <f>0.5*1.225*J13^2*L13*Polars!$G$13</f>
        <v>298.52319314719574</v>
      </c>
      <c r="O13" s="50">
        <f t="shared" si="1"/>
        <v>11343.881339593438</v>
      </c>
      <c r="P13" s="53">
        <f>1.6/(1+(1+4*L13*Polars!$G$13/(Polars!$G$17^2*PI()))^0.5)</f>
        <v>0.7722845590190982</v>
      </c>
      <c r="Q13" s="50">
        <f t="shared" si="2"/>
        <v>14688.73254956909</v>
      </c>
      <c r="R13" s="50">
        <f>Polars!$G$19*1.225^2*Polars!$G$13^2*'Plots vs Speed'!J13^4*PI()*Polars!$G$24*Polars!$G$28/(4*9.81^2)</f>
        <v>1364207.1904335886</v>
      </c>
      <c r="S13" s="50">
        <f>P13*M13/(Ranges!$G$15*9.81)*LN(Polars!$G$18/Ranges!$G$24)/1000</f>
        <v>1273.5276155504753</v>
      </c>
      <c r="T13" s="50">
        <f>2*Polars!$G$39*'Plots vs Speed'!P13/(9.81*Ranges!$G$15)*ATAN(R13^0.5*(Polars!$G$18-Ranges!$G$24)/('Plots vs Speed'!R13+Polars!$G$18*Ranges!$G$24))/1000</f>
        <v>1257.360132214844</v>
      </c>
      <c r="U13" s="52">
        <f>2*P13*M13/(Ranges!$G$15*9.81*J13)*((Polars!$G$18/Ranges!$G$24)^0.5-1)/3600</f>
        <v>9.492052716802968</v>
      </c>
      <c r="V13" s="52">
        <f>P13*M13/(Ranges!$G$15*9.81*J13)*LN(Polars!$G$18/Ranges!$G$24)/3600</f>
        <v>9.309412394374819</v>
      </c>
      <c r="W13" s="52">
        <f>2*Polars!$G$39*'Plots vs Speed'!P13/(9.81*Ranges!$G$15*'Plots vs Speed'!J13)*ATAN('Plots vs Speed'!R13^0.5*(Polars!$G$18-Ranges!$G$24)/('Plots vs Speed'!R13+Polars!$G$18*Ranges!$G$24))/3600</f>
        <v>9.191229036658218</v>
      </c>
    </row>
    <row r="14" spans="10:23" ht="9" customHeight="1">
      <c r="J14" s="101">
        <v>40</v>
      </c>
      <c r="K14" s="54">
        <f>2*Polars!$G$18*9.81/(1.225*J14^2*Polars!$G$13)</f>
        <v>0.4550092764378479</v>
      </c>
      <c r="L14" s="102">
        <f>Polars!$G$19+'Plots vs Speed'!K14^2/(PI()*Polars!$G$24*Polars!$G$28)</f>
        <v>0.016890189439749216</v>
      </c>
      <c r="M14" s="52">
        <f t="shared" si="0"/>
        <v>26.939264243362082</v>
      </c>
      <c r="N14" s="50">
        <f>0.5*1.225*J14^2*L14*Polars!$G$13</f>
        <v>309.5296116728441</v>
      </c>
      <c r="O14" s="50">
        <f t="shared" si="1"/>
        <v>12381.184466913764</v>
      </c>
      <c r="P14" s="53">
        <f>1.6/(1+(1+4*L14*Polars!$G$13/(Polars!$G$17^2*PI()))^0.5)</f>
        <v>0.7739524442063221</v>
      </c>
      <c r="Q14" s="50">
        <f t="shared" si="2"/>
        <v>15997.345262744797</v>
      </c>
      <c r="R14" s="50">
        <f>Polars!$G$19*1.225^2*Polars!$G$13^2*'Plots vs Speed'!J14^4*PI()*Polars!$G$24*Polars!$G$28/(4*9.81^2)</f>
        <v>1674888.5480419435</v>
      </c>
      <c r="S14" s="50">
        <f>P14*M14/(Ranges!$G$15*9.81)*LN(Polars!$G$18/Ranges!$G$24)/1000</f>
        <v>1230.895451192259</v>
      </c>
      <c r="T14" s="50">
        <f>2*Polars!$G$39*'Plots vs Speed'!P14/(9.81*Ranges!$G$15)*ATAN(R14^0.5*(Polars!$G$18-Ranges!$G$24)/('Plots vs Speed'!R14+Polars!$G$18*Ranges!$G$24))/1000</f>
        <v>1211.1518661396572</v>
      </c>
      <c r="U14" s="52">
        <f>2*P14*M14/(Ranges!$G$15*9.81*J14)*((Polars!$G$18/Ranges!$G$24)^0.5-1)/3600</f>
        <v>8.715585080746513</v>
      </c>
      <c r="V14" s="52">
        <f>P14*M14/(Ranges!$G$15*9.81*J14)*LN(Polars!$G$18/Ranges!$G$24)/3600</f>
        <v>8.547885077724022</v>
      </c>
      <c r="W14" s="52">
        <f>2*Polars!$G$39*'Plots vs Speed'!P14/(9.81*Ranges!$G$15*'Plots vs Speed'!J14)*ATAN('Plots vs Speed'!R14^0.5*(Polars!$G$18-Ranges!$G$24)/('Plots vs Speed'!R14+Polars!$G$18*Ranges!$G$24))/3600</f>
        <v>8.410776848192064</v>
      </c>
    </row>
    <row r="15" spans="10:23" ht="9" customHeight="1">
      <c r="J15" s="101">
        <v>42</v>
      </c>
      <c r="K15" s="54">
        <f>2*Polars!$G$18*9.81/(1.225*J15^2*Polars!$G$13)</f>
        <v>0.4127068267009958</v>
      </c>
      <c r="L15" s="102">
        <f>Polars!$G$19+'Plots vs Speed'!K15^2/(PI()*Polars!$G$24*Polars!$G$28)</f>
        <v>0.015987711449241184</v>
      </c>
      <c r="M15" s="52">
        <f t="shared" si="0"/>
        <v>25.814002711475247</v>
      </c>
      <c r="N15" s="50">
        <f>0.5*1.225*J15^2*L15*Polars!$G$13</f>
        <v>323.02235702072034</v>
      </c>
      <c r="O15" s="50">
        <f t="shared" si="1"/>
        <v>13566.938994870254</v>
      </c>
      <c r="P15" s="53">
        <f>1.6/(1+(1+4*L15*Polars!$G$13/(Polars!$G$17^2*PI()))^0.5)</f>
        <v>0.7752607890801911</v>
      </c>
      <c r="Q15" s="50">
        <f t="shared" si="2"/>
        <v>17499.839003810266</v>
      </c>
      <c r="R15" s="50">
        <f>Polars!$G$19*1.225^2*Polars!$G$13^2*'Plots vs Speed'!J15^4*PI()*Polars!$G$24*Polars!$G$28/(4*9.81^2)</f>
        <v>2035837.498198408</v>
      </c>
      <c r="S15" s="50">
        <f>P15*M15/(Ranges!$G$15*9.81)*LN(Polars!$G$18/Ranges!$G$24)/1000</f>
        <v>1181.4744402114843</v>
      </c>
      <c r="T15" s="50">
        <f>2*Polars!$G$39*'Plots vs Speed'!P15/(9.81*Ranges!$G$15)*ATAN(R15^0.5*(Polars!$G$18-Ranges!$G$24)/('Plots vs Speed'!R15+Polars!$G$18*Ranges!$G$24))/1000</f>
        <v>1159.0793640009288</v>
      </c>
      <c r="U15" s="52">
        <f>2*P15*M15/(Ranges!$G$15*9.81*J15)*((Polars!$G$18/Ranges!$G$24)^0.5-1)/3600</f>
        <v>7.967286080356052</v>
      </c>
      <c r="V15" s="52">
        <f>P15*M15/(Ranges!$G$15*9.81*J15)*LN(Polars!$G$18/Ranges!$G$24)/3600</f>
        <v>7.813984392933097</v>
      </c>
      <c r="W15" s="52">
        <f>2*Polars!$G$39*'Plots vs Speed'!P15/(9.81*Ranges!$G$15*'Plots vs Speed'!J15)*ATAN('Plots vs Speed'!R15^0.5*(Polars!$G$18-Ranges!$G$24)/('Plots vs Speed'!R15+Polars!$G$18*Ranges!$G$24))/3600</f>
        <v>7.665868809529953</v>
      </c>
    </row>
    <row r="16" spans="10:23" ht="9" customHeight="1">
      <c r="J16" s="101">
        <v>44</v>
      </c>
      <c r="K16" s="54">
        <f>2*Polars!$G$18*9.81/(1.225*J16^2*Polars!$G$13)</f>
        <v>0.37604072432879987</v>
      </c>
      <c r="L16" s="102">
        <f>Polars!$G$19+'Plots vs Speed'!K16^2/(PI()*Polars!$G$24*Polars!$G$28)</f>
        <v>0.015276667877705905</v>
      </c>
      <c r="M16" s="52">
        <f t="shared" si="0"/>
        <v>24.61536294034232</v>
      </c>
      <c r="N16" s="50">
        <f>0.5*1.225*J16^2*L16*Polars!$G$13</f>
        <v>338.7518607874745</v>
      </c>
      <c r="O16" s="50">
        <f t="shared" si="1"/>
        <v>14905.081874648879</v>
      </c>
      <c r="P16" s="53">
        <f>1.6/(1+(1+4*L16*Polars!$G$13/(Polars!$G$17^2*PI()))^0.5)</f>
        <v>0.7762977694765003</v>
      </c>
      <c r="Q16" s="50">
        <f t="shared" si="2"/>
        <v>19200.212161758733</v>
      </c>
      <c r="R16" s="50">
        <f>Polars!$G$19*1.225^2*Polars!$G$13^2*'Plots vs Speed'!J16^4*PI()*Polars!$G$24*Polars!$G$28/(4*9.81^2)</f>
        <v>2452204.3231882094</v>
      </c>
      <c r="S16" s="50">
        <f>P16*M16/(Ranges!$G$15*9.81)*LN(Polars!$G$18/Ranges!$G$24)/1000</f>
        <v>1128.1211522085077</v>
      </c>
      <c r="T16" s="50">
        <f>2*Polars!$G$39*'Plots vs Speed'!P16/(9.81*Ranges!$G$15)*ATAN(R16^0.5*(Polars!$G$18-Ranges!$G$24)/('Plots vs Speed'!R16+Polars!$G$18*Ranges!$G$24))/1000</f>
        <v>1103.8936689349034</v>
      </c>
      <c r="U16" s="52">
        <f>2*P16*M16/(Ranges!$G$15*9.81*J16)*((Polars!$G$18/Ranges!$G$24)^0.5-1)/3600</f>
        <v>7.2617022420838735</v>
      </c>
      <c r="V16" s="52">
        <f>P16*M16/(Ranges!$G$15*9.81*J16)*LN(Polars!$G$18/Ranges!$G$24)/3600</f>
        <v>7.121976971013306</v>
      </c>
      <c r="W16" s="52">
        <f>2*Polars!$G$39*'Plots vs Speed'!P16/(9.81*Ranges!$G$15*'Plots vs Speed'!J16)*ATAN('Plots vs Speed'!R16^0.5*(Polars!$G$18-Ranges!$G$24)/('Plots vs Speed'!R16+Polars!$G$18*Ranges!$G$24))/3600</f>
        <v>6.969025687720349</v>
      </c>
    </row>
    <row r="17" spans="10:23" ht="9" customHeight="1">
      <c r="J17" s="101">
        <v>46</v>
      </c>
      <c r="K17" s="54">
        <f>2*Polars!$G$18*9.81/(1.225*J17^2*Polars!$G$13)</f>
        <v>0.34405238293977153</v>
      </c>
      <c r="L17" s="102">
        <f>Polars!$G$19+'Plots vs Speed'!K17^2/(PI()*Polars!$G$24*Polars!$G$28)</f>
        <v>0.014710332332859998</v>
      </c>
      <c r="M17" s="52">
        <f t="shared" si="0"/>
        <v>23.38848471636674</v>
      </c>
      <c r="N17" s="50">
        <f>0.5*1.225*J17^2*L17*Polars!$G$13</f>
        <v>356.5216003140599</v>
      </c>
      <c r="O17" s="50">
        <f t="shared" si="1"/>
        <v>16399.993614446757</v>
      </c>
      <c r="P17" s="53">
        <f>1.6/(1+(1+4*L17*Polars!$G$13/(Polars!$G$17^2*PI()))^0.5)</f>
        <v>0.7771276339370844</v>
      </c>
      <c r="Q17" s="50">
        <f t="shared" si="2"/>
        <v>21103.346346546838</v>
      </c>
      <c r="R17" s="50">
        <f>Polars!$G$19*1.225^2*Polars!$G$13^2*'Plots vs Speed'!J17^4*PI()*Polars!$G$24*Polars!$G$28/(4*9.81^2)</f>
        <v>2929390.538578784</v>
      </c>
      <c r="S17" s="50">
        <f>P17*M17/(Ranges!$G$15*9.81)*LN(Polars!$G$18/Ranges!$G$24)/1000</f>
        <v>1073.0392265978082</v>
      </c>
      <c r="T17" s="50">
        <f>2*Polars!$G$39*'Plots vs Speed'!P17/(9.81*Ranges!$G$15)*ATAN(R17^0.5*(Polars!$G$18-Ranges!$G$24)/('Plots vs Speed'!R17+Polars!$G$18*Ranges!$G$24))/1000</f>
        <v>1047.6680620612985</v>
      </c>
      <c r="U17" s="52">
        <f>2*P17*M17/(Ranges!$G$15*9.81*J17)*((Polars!$G$18/Ranges!$G$24)^0.5-1)/3600</f>
        <v>6.606830092912917</v>
      </c>
      <c r="V17" s="52">
        <f>P17*M17/(Ranges!$G$15*9.81*J17)*LN(Polars!$G$18/Ranges!$G$24)/3600</f>
        <v>6.4797054746244465</v>
      </c>
      <c r="W17" s="52">
        <f>2*Polars!$G$39*'Plots vs Speed'!P17/(9.81*Ranges!$G$15*'Plots vs Speed'!J17)*ATAN('Plots vs Speed'!R17^0.5*(Polars!$G$18-Ranges!$G$24)/('Plots vs Speed'!R17+Polars!$G$18*Ranges!$G$24))/3600</f>
        <v>6.326497959307358</v>
      </c>
    </row>
    <row r="18" spans="10:23" ht="9" customHeight="1">
      <c r="J18" s="101">
        <v>48</v>
      </c>
      <c r="K18" s="54">
        <f>2*Polars!$G$18*9.81/(1.225*J18^2*Polars!$G$13)</f>
        <v>0.3159786641929499</v>
      </c>
      <c r="L18" s="102">
        <f>Polars!$G$19+'Plots vs Speed'!K18^2/(PI()*Polars!$G$24*Polars!$G$28)</f>
        <v>0.014254759567780294</v>
      </c>
      <c r="M18" s="52">
        <f t="shared" si="0"/>
        <v>22.16653761787391</v>
      </c>
      <c r="N18" s="50">
        <f>0.5*1.225*J18^2*L18*Polars!$G$13</f>
        <v>376.175122328364</v>
      </c>
      <c r="O18" s="50">
        <f t="shared" si="1"/>
        <v>18056.40587176147</v>
      </c>
      <c r="P18" s="53">
        <f>1.6/(1+(1+4*L18*Polars!$G$13/(Polars!$G$17^2*PI()))^0.5)</f>
        <v>0.7777977414363141</v>
      </c>
      <c r="Q18" s="50">
        <f t="shared" si="2"/>
        <v>23214.783111118002</v>
      </c>
      <c r="R18" s="50">
        <f>Polars!$G$19*1.225^2*Polars!$G$13^2*'Plots vs Speed'!J18^4*PI()*Polars!$G$24*Polars!$G$28/(4*9.81^2)</f>
        <v>3473048.8932197746</v>
      </c>
      <c r="S18" s="50">
        <f>P18*M18/(Ranges!$G$15*9.81)*LN(Polars!$G$18/Ranges!$G$24)/1000</f>
        <v>1017.8544983588934</v>
      </c>
      <c r="T18" s="50">
        <f>2*Polars!$G$39*'Plots vs Speed'!P18/(9.81*Ranges!$G$15)*ATAN(R18^0.5*(Polars!$G$18-Ranges!$G$24)/('Plots vs Speed'!R18+Polars!$G$18*Ranges!$G$24))/1000</f>
        <v>991.8959233435442</v>
      </c>
      <c r="U18" s="52">
        <f>2*P18*M18/(Ranges!$G$15*9.81*J18)*((Polars!$G$18/Ranges!$G$24)^0.5-1)/3600</f>
        <v>6.005924028502147</v>
      </c>
      <c r="V18" s="52">
        <f>P18*M18/(Ranges!$G$15*9.81*J18)*LN(Polars!$G$18/Ranges!$G$24)/3600</f>
        <v>5.890361680317668</v>
      </c>
      <c r="W18" s="52">
        <f>2*Polars!$G$39*'Plots vs Speed'!P18/(9.81*Ranges!$G$15*'Plots vs Speed'!J18)*ATAN('Plots vs Speed'!R18^0.5*(Polars!$G$18-Ranges!$G$24)/('Plots vs Speed'!R18+Polars!$G$18*Ranges!$G$24))/3600</f>
        <v>5.7401384452751385</v>
      </c>
    </row>
    <row r="19" spans="10:23" ht="9" customHeight="1">
      <c r="J19" s="101">
        <v>50</v>
      </c>
      <c r="K19" s="54">
        <f>2*Polars!$G$18*9.81/(1.225*J19^2*Polars!$G$13)</f>
        <v>0.2912059369202226</v>
      </c>
      <c r="L19" s="102">
        <f>Polars!$G$19+'Plots vs Speed'!K19^2/(PI()*Polars!$G$24*Polars!$G$28)</f>
        <v>0.013884941594521279</v>
      </c>
      <c r="M19" s="52">
        <f t="shared" si="0"/>
        <v>20.97278803355764</v>
      </c>
      <c r="N19" s="50">
        <f>0.5*1.225*J19^2*L19*Polars!$G$13</f>
        <v>397.5866244706202</v>
      </c>
      <c r="O19" s="50">
        <f t="shared" si="1"/>
        <v>19879.33122353101</v>
      </c>
      <c r="P19" s="53">
        <f>1.6/(1+(1+4*L19*Polars!$G$13/(Polars!$G$17^2*PI()))^0.5)</f>
        <v>0.7783433914723538</v>
      </c>
      <c r="Q19" s="50">
        <f t="shared" si="2"/>
        <v>25540.5665948114</v>
      </c>
      <c r="R19" s="50">
        <f>Polars!$G$19*1.225^2*Polars!$G$13^2*'Plots vs Speed'!J19^4*PI()*Polars!$G$24*Polars!$G$28/(4*9.81^2)</f>
        <v>4089083.3692430267</v>
      </c>
      <c r="S19" s="50">
        <f>P19*M19/(Ranges!$G$15*9.81)*LN(Polars!$G$18/Ranges!$G$24)/1000</f>
        <v>963.7148926379372</v>
      </c>
      <c r="T19" s="50">
        <f>2*Polars!$G$39*'Plots vs Speed'!P19/(9.81*Ranges!$G$15)*ATAN(R19^0.5*(Polars!$G$18-Ranges!$G$24)/('Plots vs Speed'!R19+Polars!$G$18*Ranges!$G$24))/1000</f>
        <v>937.6034962615743</v>
      </c>
      <c r="U19" s="52">
        <f>2*P19*M19/(Ranges!$G$15*9.81*J19)*((Polars!$G$18/Ranges!$G$24)^0.5-1)/3600</f>
        <v>5.459010597355113</v>
      </c>
      <c r="V19" s="52">
        <f>P19*M19/(Ranges!$G$15*9.81*J19)*LN(Polars!$G$18/Ranges!$G$24)/3600</f>
        <v>5.353971625766317</v>
      </c>
      <c r="W19" s="52">
        <f>2*Polars!$G$39*'Plots vs Speed'!P19/(9.81*Ranges!$G$15*'Plots vs Speed'!J19)*ATAN('Plots vs Speed'!R19^0.5*(Polars!$G$18-Ranges!$G$24)/('Plots vs Speed'!R19+Polars!$G$18*Ranges!$G$24))/3600</f>
        <v>5.2089083125643</v>
      </c>
    </row>
    <row r="20" spans="10:23" ht="9" customHeight="1">
      <c r="J20" s="101">
        <v>52</v>
      </c>
      <c r="K20" s="54">
        <f>2*Polars!$G$18*9.81/(1.225*J20^2*Polars!$G$13)</f>
        <v>0.2692362582472473</v>
      </c>
      <c r="L20" s="102">
        <f>Polars!$G$19+'Plots vs Speed'!K20^2/(PI()*Polars!$G$24*Polars!$G$28)</f>
        <v>0.013582216813048989</v>
      </c>
      <c r="M20" s="52">
        <f t="shared" si="0"/>
        <v>19.82270360966268</v>
      </c>
      <c r="N20" s="50">
        <f>0.5*1.225*J20^2*L20*Polars!$G$13</f>
        <v>420.65402198393144</v>
      </c>
      <c r="O20" s="50">
        <f t="shared" si="1"/>
        <v>21874.009143164436</v>
      </c>
      <c r="P20" s="53">
        <f>1.6/(1+(1+4*L20*Polars!$G$13/(Polars!$G$17^2*PI()))^0.5)</f>
        <v>0.7787911751163364</v>
      </c>
      <c r="Q20" s="50">
        <f t="shared" si="2"/>
        <v>28087.13021163456</v>
      </c>
      <c r="R20" s="50">
        <f>Polars!$G$19*1.225^2*Polars!$G$13^2*'Plots vs Speed'!J20^4*PI()*Polars!$G$24*Polars!$G$28/(4*9.81^2)</f>
        <v>4783649.182062596</v>
      </c>
      <c r="S20" s="50">
        <f>P20*M20/(Ranges!$G$15*9.81)*LN(Polars!$G$18/Ranges!$G$24)/1000</f>
        <v>911.3917006366264</v>
      </c>
      <c r="T20" s="50">
        <f>2*Polars!$G$39*'Plots vs Speed'!P20/(9.81*Ranges!$G$15)*ATAN(R20^0.5*(Polars!$G$18-Ranges!$G$24)/('Plots vs Speed'!R20+Polars!$G$18*Ranges!$G$24))/1000</f>
        <v>885.4570213193967</v>
      </c>
      <c r="U20" s="52">
        <f>2*P20*M20/(Ranges!$G$15*9.81*J20)*((Polars!$G$18/Ranges!$G$24)^0.5-1)/3600</f>
        <v>4.964060858228044</v>
      </c>
      <c r="V20" s="52">
        <f>P20*M20/(Ranges!$G$15*9.81*J20)*LN(Polars!$G$18/Ranges!$G$24)/3600</f>
        <v>4.868545409383688</v>
      </c>
      <c r="W20" s="52">
        <f>2*Polars!$G$39*'Plots vs Speed'!P20/(9.81*Ranges!$G$15*'Plots vs Speed'!J20)*ATAN('Plots vs Speed'!R20^0.5*(Polars!$G$18-Ranges!$G$24)/('Plots vs Speed'!R20+Polars!$G$18*Ranges!$G$24))/3600</f>
        <v>4.730005455766008</v>
      </c>
    </row>
    <row r="21" spans="10:23" ht="9" customHeight="1">
      <c r="J21" s="101">
        <v>54</v>
      </c>
      <c r="K21" s="54">
        <f>2*Polars!$G$18*9.81/(1.225*J21^2*Polars!$G$13)</f>
        <v>0.24966215442405917</v>
      </c>
      <c r="L21" s="102">
        <f>Polars!$G$19+'Plots vs Speed'!K21^2/(PI()*Polars!$G$24*Polars!$G$28)</f>
        <v>0.013332494313310178</v>
      </c>
      <c r="M21" s="52">
        <f t="shared" si="0"/>
        <v>18.725839933403527</v>
      </c>
      <c r="N21" s="50">
        <f>0.5*1.225*J21^2*L21*Polars!$G$13</f>
        <v>445.29377745697894</v>
      </c>
      <c r="O21" s="50">
        <f t="shared" si="1"/>
        <v>24045.863982676863</v>
      </c>
      <c r="P21" s="53">
        <f>1.6/(1+(1+4*L21*Polars!$G$13/(Polars!$G$17^2*PI()))^0.5)</f>
        <v>0.7791613256981762</v>
      </c>
      <c r="Q21" s="50">
        <f t="shared" si="2"/>
        <v>30861.21344784445</v>
      </c>
      <c r="R21" s="50">
        <f>Polars!$G$19*1.225^2*Polars!$G$13^2*'Plots vs Speed'!J21^4*PI()*Polars!$G$24*Polars!$G$28/(4*9.81^2)</f>
        <v>5563152.780374741</v>
      </c>
      <c r="S21" s="50">
        <f>P21*M21/(Ranges!$G$15*9.81)*LN(Polars!$G$18/Ranges!$G$24)/1000</f>
        <v>861.3702241573376</v>
      </c>
      <c r="T21" s="50">
        <f>2*Polars!$G$39*'Plots vs Speed'!P21/(9.81*Ranges!$G$15)*ATAN(R21^0.5*(Polars!$G$18-Ranges!$G$24)/('Plots vs Speed'!R21+Polars!$G$18*Ranges!$G$24))/1000</f>
        <v>835.8548458320097</v>
      </c>
      <c r="U21" s="52">
        <f>2*P21*M21/(Ranges!$G$15*9.81*J21)*((Polars!$G$18/Ranges!$G$24)^0.5-1)/3600</f>
        <v>4.517846452770247</v>
      </c>
      <c r="V21" s="52">
        <f>P21*M21/(Ranges!$G$15*9.81*J21)*LN(Polars!$G$18/Ranges!$G$24)/3600</f>
        <v>4.430916790932807</v>
      </c>
      <c r="W21" s="52">
        <f>2*Polars!$G$39*'Plots vs Speed'!P21/(9.81*Ranges!$G$15*'Plots vs Speed'!J21)*ATAN('Plots vs Speed'!R21^0.5*(Polars!$G$18-Ranges!$G$24)/('Plots vs Speed'!R21+Polars!$G$18*Ranges!$G$24))/3600</f>
        <v>4.299664844814865</v>
      </c>
    </row>
    <row r="22" spans="10:23" ht="9" customHeight="1">
      <c r="J22" s="101">
        <v>56</v>
      </c>
      <c r="K22" s="54">
        <f>2*Polars!$G$18*9.81/(1.225*J22^2*Polars!$G$13)</f>
        <v>0.23214759001931015</v>
      </c>
      <c r="L22" s="102">
        <f>Polars!$G$19+'Plots vs Speed'!K22^2/(PI()*Polars!$G$24*Polars!$G$28)</f>
        <v>0.013125018075736468</v>
      </c>
      <c r="M22" s="52">
        <f t="shared" si="0"/>
        <v>17.687411070958387</v>
      </c>
      <c r="N22" s="50">
        <f>0.5*1.225*J22^2*L22*Polars!$G$13</f>
        <v>471.43699926165516</v>
      </c>
      <c r="O22" s="50">
        <f t="shared" si="1"/>
        <v>26400.471958652688</v>
      </c>
      <c r="P22" s="53">
        <f>1.6/(1+(1+4*L22*Polars!$G$13/(Polars!$G$17^2*PI()))^0.5)</f>
        <v>0.7794693859114077</v>
      </c>
      <c r="Q22" s="50">
        <f t="shared" si="2"/>
        <v>33869.799681463424</v>
      </c>
      <c r="R22" s="50">
        <f>Polars!$G$19*1.225^2*Polars!$G$13^2*'Plots vs Speed'!J22^4*PI()*Polars!$G$24*Polars!$G$28/(4*9.81^2)</f>
        <v>6434251.84615793</v>
      </c>
      <c r="S22" s="50">
        <f>P22*M22/(Ranges!$G$15*9.81)*LN(Polars!$G$18/Ranges!$G$24)/1000</f>
        <v>813.9251953172263</v>
      </c>
      <c r="T22" s="50">
        <f>2*Polars!$G$39*'Plots vs Speed'!P22/(9.81*Ranges!$G$15)*ATAN(R22^0.5*(Polars!$G$18-Ranges!$G$24)/('Plots vs Speed'!R22+Polars!$G$18*Ranges!$G$24))/1000</f>
        <v>789.0018814782022</v>
      </c>
      <c r="U22" s="52">
        <f>2*P22*M22/(Ranges!$G$15*9.81*J22)*((Polars!$G$18/Ranges!$G$24)^0.5-1)/3600</f>
        <v>4.116535232413433</v>
      </c>
      <c r="V22" s="52">
        <f>P22*M22/(Ranges!$G$15*9.81*J22)*LN(Polars!$G$18/Ranges!$G$24)/3600</f>
        <v>4.037327357724337</v>
      </c>
      <c r="W22" s="52">
        <f>2*Polars!$G$39*'Plots vs Speed'!P22/(9.81*Ranges!$G$15*'Plots vs Speed'!J22)*ATAN('Plots vs Speed'!R22^0.5*(Polars!$G$18-Ranges!$G$24)/('Plots vs Speed'!R22+Polars!$G$18*Ranges!$G$24))/3600</f>
        <v>3.9136998089196546</v>
      </c>
    </row>
    <row r="23" spans="10:23" ht="9" customHeight="1">
      <c r="J23" s="101">
        <v>58</v>
      </c>
      <c r="K23" s="54">
        <f>2*Polars!$G$18*9.81/(1.225*J23^2*Polars!$G$13)</f>
        <v>0.21641344895973738</v>
      </c>
      <c r="L23" s="102">
        <f>Polars!$G$19+'Plots vs Speed'!K23^2/(PI()*Polars!$G$24*Polars!$G$28)</f>
        <v>0.012951494682254825</v>
      </c>
      <c r="M23" s="52">
        <f t="shared" si="0"/>
        <v>16.709534634350042</v>
      </c>
      <c r="N23" s="50">
        <f>0.5*1.225*J23^2*L23*Polars!$G$13</f>
        <v>499.02646497757155</v>
      </c>
      <c r="O23" s="50">
        <f t="shared" si="1"/>
        <v>28943.53496869915</v>
      </c>
      <c r="P23" s="53">
        <f>1.6/(1+(1+4*L23*Polars!$G$13/(Polars!$G$17^2*PI()))^0.5)</f>
        <v>0.7797274028438602</v>
      </c>
      <c r="Q23" s="50">
        <f t="shared" si="2"/>
        <v>37120.06896658353</v>
      </c>
      <c r="R23" s="50">
        <f>Polars!$G$19*1.225^2*Polars!$G$13^2*'Plots vs Speed'!J23^4*PI()*Polars!$G$24*Polars!$G$28/(4*9.81^2)</f>
        <v>7403855.2946728375</v>
      </c>
      <c r="S23" s="50">
        <f>P23*M23/(Ranges!$G$15*9.81)*LN(Polars!$G$18/Ranges!$G$24)/1000</f>
        <v>769.1805832189315</v>
      </c>
      <c r="T23" s="50">
        <f>2*Polars!$G$39*'Plots vs Speed'!P23/(9.81*Ranges!$G$15)*ATAN(R23^0.5*(Polars!$G$18-Ranges!$G$24)/('Plots vs Speed'!R23+Polars!$G$18*Ranges!$G$24))/1000</f>
        <v>744.9673210785924</v>
      </c>
      <c r="U23" s="52">
        <f>2*P23*M23/(Ranges!$G$15*9.81*J23)*((Polars!$G$18/Ranges!$G$24)^0.5-1)/3600</f>
        <v>3.756087409994972</v>
      </c>
      <c r="V23" s="52">
        <f>P23*M23/(Ranges!$G$15*9.81*J23)*LN(Polars!$G$18/Ranges!$G$24)/3600</f>
        <v>3.6838150537305148</v>
      </c>
      <c r="W23" s="52">
        <f>2*Polars!$G$39*'Plots vs Speed'!P23/(9.81*Ranges!$G$15*'Plots vs Speed'!J23)*ATAN('Plots vs Speed'!R23^0.5*(Polars!$G$18-Ranges!$G$24)/('Plots vs Speed'!R23+Polars!$G$18*Ranges!$G$24))/3600</f>
        <v>3.5678511545909597</v>
      </c>
    </row>
    <row r="24" spans="10:23" ht="9" customHeight="1">
      <c r="J24" s="101">
        <v>60</v>
      </c>
      <c r="K24" s="54">
        <f>2*Polars!$G$18*9.81/(1.225*J24^2*Polars!$G$13)</f>
        <v>0.20222634508348794</v>
      </c>
      <c r="L24" s="102">
        <f>Polars!$G$19+'Plots vs Speed'!K24^2/(PI()*Polars!$G$24*Polars!$G$28)</f>
        <v>0.012805469518962808</v>
      </c>
      <c r="M24" s="52">
        <f t="shared" si="0"/>
        <v>15.792185111527832</v>
      </c>
      <c r="N24" s="50">
        <f>0.5*1.225*J24^2*L24*Polars!$G$13</f>
        <v>528.0143274101529</v>
      </c>
      <c r="O24" s="50">
        <f t="shared" si="1"/>
        <v>31680.859644609172</v>
      </c>
      <c r="P24" s="53">
        <f>1.6/(1+(1+4*L24*Polars!$G$13/(Polars!$G$17^2*PI()))^0.5)</f>
        <v>0.7799447935297894</v>
      </c>
      <c r="Q24" s="50">
        <f t="shared" si="2"/>
        <v>40619.36166178042</v>
      </c>
      <c r="R24" s="50">
        <f>Polars!$G$19*1.225^2*Polars!$G$13^2*'Plots vs Speed'!J24^4*PI()*Polars!$G$24*Polars!$G$28/(4*9.81^2)</f>
        <v>8479123.27446234</v>
      </c>
      <c r="S24" s="50">
        <f>P24*M24/(Ranges!$G$15*9.81)*LN(Polars!$G$18/Ranges!$G$24)/1000</f>
        <v>727.1554269743357</v>
      </c>
      <c r="T24" s="50">
        <f>2*Polars!$G$39*'Plots vs Speed'!P24/(9.81*Ranges!$G$15)*ATAN(R24^0.5*(Polars!$G$18-Ranges!$G$24)/('Plots vs Speed'!R24+Polars!$G$18*Ranges!$G$24))/1000</f>
        <v>703.7280312597258</v>
      </c>
      <c r="U24" s="52">
        <f>2*P24*M24/(Ranges!$G$15*9.81*J24)*((Polars!$G$18/Ranges!$G$24)^0.5-1)/3600</f>
        <v>3.432506519045532</v>
      </c>
      <c r="V24" s="52">
        <f>P24*M24/(Ranges!$G$15*9.81*J24)*LN(Polars!$G$18/Ranges!$G$24)/3600</f>
        <v>3.366460310066369</v>
      </c>
      <c r="W24" s="52">
        <f>2*Polars!$G$39*'Plots vs Speed'!P24/(9.81*Ranges!$G$15*'Plots vs Speed'!J24)*ATAN('Plots vs Speed'!R24^0.5*(Polars!$G$18-Ranges!$G$24)/('Plots vs Speed'!R24+Polars!$G$18*Ranges!$G$24))/3600</f>
        <v>3.2580001447209535</v>
      </c>
    </row>
    <row r="25" spans="10:23" ht="9" customHeight="1">
      <c r="J25" s="101">
        <v>62</v>
      </c>
      <c r="K25" s="54">
        <f>2*Polars!$G$18*9.81/(1.225*J25^2*Polars!$G$13)</f>
        <v>0.18938991735186173</v>
      </c>
      <c r="L25" s="102">
        <f>Polars!$G$19+'Plots vs Speed'!K25^2/(PI()*Polars!$G$24*Polars!$G$28)</f>
        <v>0.012681875247406257</v>
      </c>
      <c r="M25" s="52">
        <f t="shared" si="0"/>
        <v>14.933904778049007</v>
      </c>
      <c r="N25" s="50">
        <f>0.5*1.225*J25^2*L25*Polars!$G$13</f>
        <v>558.3603299959809</v>
      </c>
      <c r="O25" s="50">
        <f t="shared" si="1"/>
        <v>34618.34045975082</v>
      </c>
      <c r="P25" s="53">
        <f>1.6/(1+(1+4*L25*Polars!$G$13/(Polars!$G$17^2*PI()))^0.5)</f>
        <v>0.7801289781367211</v>
      </c>
      <c r="Q25" s="50">
        <f t="shared" si="2"/>
        <v>44375.150045616945</v>
      </c>
      <c r="R25" s="50">
        <f>Polars!$G$19*1.225^2*Polars!$G$13^2*'Plots vs Speed'!J25^4*PI()*Polars!$G$24*Polars!$G$28/(4*9.81^2)</f>
        <v>9667467.167351523</v>
      </c>
      <c r="S25" s="50">
        <f>P25*M25/(Ranges!$G$15*9.81)*LN(Polars!$G$18/Ranges!$G$24)/1000</f>
        <v>687.7980630369676</v>
      </c>
      <c r="T25" s="50">
        <f>2*Polars!$G$39*'Plots vs Speed'!P25/(9.81*Ranges!$G$15)*ATAN(R25^0.5*(Polars!$G$18-Ranges!$G$24)/('Plots vs Speed'!R25+Polars!$G$18*Ranges!$G$24))/1000</f>
        <v>665.2004078211306</v>
      </c>
      <c r="U25" s="52">
        <f>2*P25*M25/(Ranges!$G$15*9.81*J25)*((Polars!$G$18/Ranges!$G$24)^0.5-1)/3600</f>
        <v>3.141988783366401</v>
      </c>
      <c r="V25" s="52">
        <f>P25*M25/(Ranges!$G$15*9.81*J25)*LN(Polars!$G$18/Ranges!$G$24)/3600</f>
        <v>3.0815325404882064</v>
      </c>
      <c r="W25" s="52">
        <f>2*Polars!$G$39*'Plots vs Speed'!P25/(9.81*Ranges!$G$15*'Plots vs Speed'!J25)*ATAN('Plots vs Speed'!R25^0.5*(Polars!$G$18-Ranges!$G$24)/('Plots vs Speed'!R25+Polars!$G$18*Ranges!$G$24))/3600</f>
        <v>2.9802885655068576</v>
      </c>
    </row>
    <row r="26" spans="10:23" ht="9" customHeight="1">
      <c r="J26" s="101">
        <v>64</v>
      </c>
      <c r="K26" s="54">
        <f>2*Polars!$G$18*9.81/(1.225*J26^2*Polars!$G$13)</f>
        <v>0.17773799860853431</v>
      </c>
      <c r="L26" s="102">
        <f>Polars!$G$19+'Plots vs Speed'!K26^2/(PI()*Polars!$G$24*Polars!$G$28)</f>
        <v>0.012576701269492983</v>
      </c>
      <c r="M26" s="52">
        <f t="shared" si="0"/>
        <v>14.132322522414468</v>
      </c>
      <c r="N26" s="50">
        <f>0.5*1.225*J26^2*L26*Polars!$G$13</f>
        <v>590.0304063097047</v>
      </c>
      <c r="O26" s="50">
        <f t="shared" si="1"/>
        <v>37761.946003821104</v>
      </c>
      <c r="P26" s="53">
        <f>1.6/(1+(1+4*L26*Polars!$G$13/(Polars!$G$17^2*PI()))^0.5)</f>
        <v>0.7802858476038469</v>
      </c>
      <c r="Q26" s="50">
        <f t="shared" si="2"/>
        <v>48395.01590318852</v>
      </c>
      <c r="R26" s="50">
        <f>Polars!$G$19*1.225^2*Polars!$G$13^2*'Plots vs Speed'!J26^4*PI()*Polars!$G$24*Polars!$G$28/(4*9.81^2)</f>
        <v>10976549.588447683</v>
      </c>
      <c r="S26" s="50">
        <f>P26*M26/(Ranges!$G$15*9.81)*LN(Polars!$G$18/Ranges!$G$24)/1000</f>
        <v>651.0111555109046</v>
      </c>
      <c r="T26" s="50">
        <f>2*Polars!$G$39*'Plots vs Speed'!P26/(9.81*Ranges!$G$15)*ATAN(R26^0.5*(Polars!$G$18-Ranges!$G$24)/('Plots vs Speed'!R26+Polars!$G$18*Ranges!$G$24))/1000</f>
        <v>629.2632974202422</v>
      </c>
      <c r="U26" s="52">
        <f>2*P26*M26/(Ranges!$G$15*9.81*J26)*((Polars!$G$18/Ranges!$G$24)^0.5-1)/3600</f>
        <v>2.881003779034678</v>
      </c>
      <c r="V26" s="52">
        <f>P26*M26/(Ranges!$G$15*9.81*J26)*LN(Polars!$G$18/Ranges!$G$24)/3600</f>
        <v>2.8255692513494126</v>
      </c>
      <c r="W26" s="52">
        <f>2*Polars!$G$39*'Plots vs Speed'!P26/(9.81*Ranges!$G$15*'Plots vs Speed'!J26)*ATAN('Plots vs Speed'!R26^0.5*(Polars!$G$18-Ranges!$G$24)/('Plots vs Speed'!R26+Polars!$G$18*Ranges!$G$24))/3600</f>
        <v>2.731177506164246</v>
      </c>
    </row>
    <row r="27" spans="10:23" ht="9" customHeight="1">
      <c r="J27" s="101">
        <v>66</v>
      </c>
      <c r="K27" s="54">
        <f>2*Polars!$G$18*9.81/(1.225*J27^2*Polars!$G$13)</f>
        <v>0.16712921081279994</v>
      </c>
      <c r="L27" s="102">
        <f>Polars!$G$19+'Plots vs Speed'!K27^2/(PI()*Polars!$G$24*Polars!$G$28)</f>
        <v>0.012486749210411043</v>
      </c>
      <c r="M27" s="52">
        <f t="shared" si="0"/>
        <v>13.384525307311616</v>
      </c>
      <c r="N27" s="50">
        <f>0.5*1.225*J27^2*L27*Polars!$G$13</f>
        <v>622.9955720166553</v>
      </c>
      <c r="O27" s="50">
        <f t="shared" si="1"/>
        <v>41117.70775309925</v>
      </c>
      <c r="P27" s="53">
        <f>1.6/(1+(1+4*L27*Polars!$G$13/(Polars!$G$17^2*PI()))^0.5)</f>
        <v>0.7804201121718559</v>
      </c>
      <c r="Q27" s="50">
        <f t="shared" si="2"/>
        <v>52686.63263773594</v>
      </c>
      <c r="R27" s="50">
        <f>Polars!$G$19*1.225^2*Polars!$G$13^2*'Plots vs Speed'!J27^4*PI()*Polars!$G$24*Polars!$G$28/(4*9.81^2)</f>
        <v>12414284.38614031</v>
      </c>
      <c r="S27" s="50">
        <f>P27*M27/(Ranges!$G$15*9.81)*LN(Polars!$G$18/Ranges!$G$24)/1000</f>
        <v>616.6696669201438</v>
      </c>
      <c r="T27" s="50">
        <f>2*Polars!$G$39*'Plots vs Speed'!P27/(9.81*Ranges!$G$15)*ATAN(R27^0.5*(Polars!$G$18-Ranges!$G$24)/('Plots vs Speed'!R27+Polars!$G$18*Ranges!$G$24))/1000</f>
        <v>595.7741889853532</v>
      </c>
      <c r="U27" s="52">
        <f>2*P27*M27/(Ranges!$G$15*9.81*J27)*((Polars!$G$18/Ranges!$G$24)^0.5-1)/3600</f>
        <v>2.646330135808826</v>
      </c>
      <c r="V27" s="52">
        <f>P27*M27/(Ranges!$G$15*9.81*J27)*LN(Polars!$G$18/Ranges!$G$24)/3600</f>
        <v>2.5954110560612107</v>
      </c>
      <c r="W27" s="52">
        <f>2*Polars!$G$39*'Plots vs Speed'!P27/(9.81*Ranges!$G$15*'Plots vs Speed'!J27)*ATAN('Plots vs Speed'!R27^0.5*(Polars!$G$18-Ranges!$G$24)/('Plots vs Speed'!R27+Polars!$G$18*Ranges!$G$24))/3600</f>
        <v>2.5074671253592307</v>
      </c>
    </row>
    <row r="28" spans="10:23" ht="9" customHeight="1">
      <c r="J28" s="101">
        <v>68</v>
      </c>
      <c r="K28" s="54">
        <f>2*Polars!$G$18*9.81/(1.225*J28^2*Polars!$G$13)</f>
        <v>0.15744265620686776</v>
      </c>
      <c r="L28" s="102">
        <f>Polars!$G$19+'Plots vs Speed'!K28^2/(PI()*Polars!$G$24*Polars!$G$28)</f>
        <v>0.012409450250805093</v>
      </c>
      <c r="M28" s="52">
        <f t="shared" si="0"/>
        <v>12.68731918214131</v>
      </c>
      <c r="N28" s="50">
        <f>0.5*1.225*J28^2*L28*Polars!$G$13</f>
        <v>657.2310415061745</v>
      </c>
      <c r="O28" s="50">
        <f t="shared" si="1"/>
        <v>44691.71082241987</v>
      </c>
      <c r="P28" s="53">
        <f>1.6/(1+(1+4*L28*Polars!$G$13/(Polars!$G$17^2*PI()))^0.5)</f>
        <v>0.7805355634032757</v>
      </c>
      <c r="Q28" s="50">
        <f t="shared" si="2"/>
        <v>57257.75085449785</v>
      </c>
      <c r="R28" s="50">
        <f>Polars!$G$19*1.225^2*Polars!$G$13^2*'Plots vs Speed'!J28^4*PI()*Polars!$G$24*Polars!$G$28/(4*9.81^2)</f>
        <v>13988836.642101118</v>
      </c>
      <c r="S28" s="50">
        <f>P28*M28/(Ranges!$G$15*9.81)*LN(Polars!$G$18/Ranges!$G$24)/1000</f>
        <v>584.6335330333751</v>
      </c>
      <c r="T28" s="50">
        <f>2*Polars!$G$39*'Plots vs Speed'!P28/(9.81*Ranges!$G$15)*ATAN(R28^0.5*(Polars!$G$18-Ranges!$G$24)/('Plots vs Speed'!R28+Polars!$G$18*Ranges!$G$24))/1000</f>
        <v>564.5804363483547</v>
      </c>
      <c r="U28" s="52">
        <f>2*P28*M28/(Ranges!$G$15*9.81*J28)*((Polars!$G$18/Ranges!$G$24)^0.5-1)/3600</f>
        <v>2.435062880095244</v>
      </c>
      <c r="V28" s="52">
        <f>P28*M28/(Ranges!$G$15*9.81*J28)*LN(Polars!$G$18/Ranges!$G$24)/3600</f>
        <v>2.388208876770323</v>
      </c>
      <c r="W28" s="52">
        <f>2*Polars!$G$39*'Plots vs Speed'!P28/(9.81*Ranges!$G$15*'Plots vs Speed'!J28)*ATAN('Plots vs Speed'!R28^0.5*(Polars!$G$18-Ranges!$G$24)/('Plots vs Speed'!R28+Polars!$G$18*Ranges!$G$24))/3600</f>
        <v>2.306292632141972</v>
      </c>
    </row>
    <row r="29" spans="10:23" ht="9" customHeight="1">
      <c r="J29" s="101">
        <v>70</v>
      </c>
      <c r="K29" s="54">
        <f>2*Polars!$G$18*9.81/(1.225*J29^2*Polars!$G$13)</f>
        <v>0.1485744576123585</v>
      </c>
      <c r="L29" s="102">
        <f>Polars!$G$19+'Plots vs Speed'!K29^2/(PI()*Polars!$G$24*Polars!$G$28)</f>
        <v>0.012342727403821658</v>
      </c>
      <c r="M29" s="52">
        <f t="shared" si="0"/>
        <v>12.037408973834715</v>
      </c>
      <c r="N29" s="50">
        <f>0.5*1.225*J29^2*L29*Polars!$G$13</f>
        <v>692.7155186074593</v>
      </c>
      <c r="O29" s="50">
        <f t="shared" si="1"/>
        <v>48490.086302522155</v>
      </c>
      <c r="P29" s="53">
        <f>1.6/(1+(1+4*L29*Polars!$G$13/(Polars!$G$17^2*PI()))^0.5)</f>
        <v>0.7806352727984291</v>
      </c>
      <c r="Q29" s="50">
        <f t="shared" si="2"/>
        <v>62116.186639497355</v>
      </c>
      <c r="R29" s="50">
        <f>Polars!$G$19*1.225^2*Polars!$G$13^2*'Plots vs Speed'!J29^4*PI()*Polars!$G$24*Polars!$G$28/(4*9.81^2)</f>
        <v>15708622.67128401</v>
      </c>
      <c r="S29" s="50">
        <f>P29*M29/(Ranges!$G$15*9.81)*LN(Polars!$G$18/Ranges!$G$24)/1000</f>
        <v>554.7564333167169</v>
      </c>
      <c r="T29" s="50">
        <f>2*Polars!$G$39*'Plots vs Speed'!P29/(9.81*Ranges!$G$15)*ATAN(R29^0.5*(Polars!$G$18-Ranges!$G$24)/('Plots vs Speed'!R29+Polars!$G$18*Ranges!$G$24))/1000</f>
        <v>535.5268700412205</v>
      </c>
      <c r="U29" s="52">
        <f>2*P29*M29/(Ranges!$G$15*9.81*J29)*((Polars!$G$18/Ranges!$G$24)^0.5-1)/3600</f>
        <v>2.244603721614706</v>
      </c>
      <c r="V29" s="52">
        <f>P29*M29/(Ranges!$G$15*9.81*J29)*LN(Polars!$G$18/Ranges!$G$24)/3600</f>
        <v>2.20141441792348</v>
      </c>
      <c r="W29" s="52">
        <f>2*Polars!$G$39*'Plots vs Speed'!P29/(9.81*Ranges!$G$15*'Plots vs Speed'!J29)*ATAN('Plots vs Speed'!R29^0.5*(Polars!$G$18-Ranges!$G$24)/('Plots vs Speed'!R29+Polars!$G$18*Ranges!$G$24))/3600</f>
        <v>2.1251066271477</v>
      </c>
    </row>
    <row r="30" spans="10:23" ht="9" customHeight="1">
      <c r="J30" s="101">
        <v>72</v>
      </c>
      <c r="K30" s="54">
        <f>2*Polars!$G$18*9.81/(1.225*J30^2*Polars!$G$13)</f>
        <v>0.14043496186353327</v>
      </c>
      <c r="L30" s="102">
        <f>Polars!$G$19+'Plots vs Speed'!K30^2/(PI()*Polars!$G$24*Polars!$G$28)</f>
        <v>0.012284890778820797</v>
      </c>
      <c r="M30" s="52">
        <f t="shared" si="0"/>
        <v>11.431518960318616</v>
      </c>
      <c r="N30" s="50">
        <f>0.5*1.225*J30^2*L30*Polars!$G$13</f>
        <v>729.4306232570506</v>
      </c>
      <c r="O30" s="50">
        <f t="shared" si="1"/>
        <v>52519.00487450764</v>
      </c>
      <c r="P30" s="53">
        <f>1.6/(1+(1+4*L30*Polars!$G$13/(Polars!$G$17^2*PI()))^0.5)</f>
        <v>0.7807217435364938</v>
      </c>
      <c r="Q30" s="50">
        <f t="shared" si="2"/>
        <v>67269.81195196175</v>
      </c>
      <c r="R30" s="50">
        <f>Polars!$G$19*1.225^2*Polars!$G$13^2*'Plots vs Speed'!J30^4*PI()*Polars!$G$24*Polars!$G$28/(4*9.81^2)</f>
        <v>17582310.021925107</v>
      </c>
      <c r="S30" s="50">
        <f>P30*M30/(Ranges!$G$15*9.81)*LN(Polars!$G$18/Ranges!$G$24)/1000</f>
        <v>526.8917230276671</v>
      </c>
      <c r="T30" s="50">
        <f>2*Polars!$G$39*'Plots vs Speed'!P30/(9.81*Ranges!$G$15)*ATAN(R30^0.5*(Polars!$G$18-Ranges!$G$24)/('Plots vs Speed'!R30+Polars!$G$18*Ranges!$G$24))/1000</f>
        <v>508.4608195557628</v>
      </c>
      <c r="U30" s="52">
        <f>2*P30*M30/(Ranges!$G$15*9.81*J30)*((Polars!$G$18/Ranges!$G$24)^0.5-1)/3600</f>
        <v>2.072641793663635</v>
      </c>
      <c r="V30" s="52">
        <f>P30*M30/(Ranges!$G$15*9.81*J30)*LN(Polars!$G$18/Ranges!$G$24)/3600</f>
        <v>2.0327612771129133</v>
      </c>
      <c r="W30" s="52">
        <f>2*Polars!$G$39*'Plots vs Speed'!P30/(9.81*Ranges!$G$15*'Plots vs Speed'!J30)*ATAN('Plots vs Speed'!R30^0.5*(Polars!$G$18-Ranges!$G$24)/('Plots vs Speed'!R30+Polars!$G$18*Ranges!$G$24))/3600</f>
        <v>1.9616543964342699</v>
      </c>
    </row>
    <row r="31" spans="10:23" ht="9" customHeight="1">
      <c r="J31" s="101">
        <v>74</v>
      </c>
      <c r="K31" s="54">
        <f>2*Polars!$G$18*9.81/(1.225*J31^2*Polars!$G$13)</f>
        <v>0.13294646499279703</v>
      </c>
      <c r="L31" s="102">
        <f>Polars!$G$19+'Plots vs Speed'!K31^2/(PI()*Polars!$G$24*Polars!$G$28)</f>
        <v>0.012234557282090426</v>
      </c>
      <c r="M31" s="52">
        <f t="shared" si="0"/>
        <v>10.866471252491571</v>
      </c>
      <c r="N31" s="50">
        <f>0.5*1.225*J31^2*L31*Polars!$G$13</f>
        <v>767.3604251323139</v>
      </c>
      <c r="O31" s="50">
        <f t="shared" si="1"/>
        <v>56784.67145979123</v>
      </c>
      <c r="P31" s="53">
        <f>1.6/(1+(1+4*L31*Polars!$G$13/(Polars!$G$17^2*PI()))^0.5)</f>
        <v>0.780797027273593</v>
      </c>
      <c r="Q31" s="50">
        <f t="shared" si="2"/>
        <v>72726.54669046756</v>
      </c>
      <c r="R31" s="50">
        <f>Polars!$G$19*1.225^2*Polars!$G$13^2*'Plots vs Speed'!J31^4*PI()*Polars!$G$24*Polars!$G$28/(4*9.81^2)</f>
        <v>19618817.47554273</v>
      </c>
      <c r="S31" s="50">
        <f>P31*M31/(Ranges!$G$15*9.81)*LN(Polars!$G$18/Ranges!$G$24)/1000</f>
        <v>500.896326865528</v>
      </c>
      <c r="T31" s="50">
        <f>2*Polars!$G$39*'Plots vs Speed'!P31/(9.81*Ranges!$G$15)*ATAN(R31^0.5*(Polars!$G$18-Ranges!$G$24)/('Plots vs Speed'!R31+Polars!$G$18*Ranges!$G$24))/1000</f>
        <v>483.23530077168243</v>
      </c>
      <c r="U31" s="52">
        <f>2*P31*M31/(Ranges!$G$15*9.81*J31)*((Polars!$G$18/Ranges!$G$24)^0.5-1)/3600</f>
        <v>1.9171297146411104</v>
      </c>
      <c r="V31" s="52">
        <f>P31*M31/(Ranges!$G$15*9.81*J31)*LN(Polars!$G$18/Ranges!$G$24)/3600</f>
        <v>1.8802414672129428</v>
      </c>
      <c r="W31" s="52">
        <f>2*Polars!$G$39*'Plots vs Speed'!P31/(9.81*Ranges!$G$15*'Plots vs Speed'!J31)*ATAN('Plots vs Speed'!R31^0.5*(Polars!$G$18-Ranges!$G$24)/('Plots vs Speed'!R31+Polars!$G$18*Ranges!$G$24))/3600</f>
        <v>1.813946324218027</v>
      </c>
    </row>
    <row r="32" spans="10:23" ht="9" customHeight="1">
      <c r="J32" s="101">
        <v>76</v>
      </c>
      <c r="K32" s="54">
        <f>2*Polars!$G$18*9.81/(1.225*J32^2*Polars!$G$13)</f>
        <v>0.12604135081380827</v>
      </c>
      <c r="L32" s="102">
        <f>Polars!$G$19+'Plots vs Speed'!K32^2/(PI()*Polars!$G$24*Polars!$G$28)</f>
        <v>0.012190588580485816</v>
      </c>
      <c r="M32" s="52">
        <f t="shared" si="0"/>
        <v>10.339234236447778</v>
      </c>
      <c r="N32" s="50">
        <f>0.5*1.225*J32^2*L32*Polars!$G$13</f>
        <v>806.4910620367989</v>
      </c>
      <c r="O32" s="50">
        <f t="shared" si="1"/>
        <v>61293.32071479672</v>
      </c>
      <c r="P32" s="53">
        <f>1.6/(1+(1+4*L32*Polars!$G$13/(Polars!$G$17^2*PI()))^0.5)</f>
        <v>0.7808628146856906</v>
      </c>
      <c r="Q32" s="50">
        <f t="shared" si="2"/>
        <v>78494.3520962363</v>
      </c>
      <c r="R32" s="50">
        <f>Polars!$G$19*1.225^2*Polars!$G$13^2*'Plots vs Speed'!J32^4*PI()*Polars!$G$24*Polars!$G$28/(4*9.81^2)</f>
        <v>21827315.046937417</v>
      </c>
      <c r="S32" s="50">
        <f>P32*M32/(Ranges!$G$15*9.81)*LN(Polars!$G$18/Ranges!$G$24)/1000</f>
        <v>476.6331854392955</v>
      </c>
      <c r="T32" s="50">
        <f>2*Polars!$G$39*'Plots vs Speed'!P32/(9.81*Ranges!$G$15)*ATAN(R32^0.5*(Polars!$G$18-Ranges!$G$24)/('Plots vs Speed'!R32+Polars!$G$18*Ranges!$G$24))/1000</f>
        <v>459.7109189833996</v>
      </c>
      <c r="U32" s="52">
        <f>2*P32*M32/(Ranges!$G$15*9.81*J32)*((Polars!$G$18/Ranges!$G$24)^0.5-1)/3600</f>
        <v>1.7762580361525753</v>
      </c>
      <c r="V32" s="52">
        <f>P32*M32/(Ranges!$G$15*9.81*J32)*LN(Polars!$G$18/Ranges!$G$24)/3600</f>
        <v>1.742080356137776</v>
      </c>
      <c r="W32" s="52">
        <f>2*Polars!$G$39*'Plots vs Speed'!P32/(9.81*Ranges!$G$15*'Plots vs Speed'!J32)*ATAN('Plots vs Speed'!R32^0.5*(Polars!$G$18-Ranges!$G$24)/('Plots vs Speed'!R32+Polars!$G$18*Ranges!$G$24))/3600</f>
        <v>1.6802299670445895</v>
      </c>
    </row>
    <row r="33" spans="10:23" ht="9" customHeight="1">
      <c r="J33" s="101">
        <v>78</v>
      </c>
      <c r="K33" s="54">
        <f>2*Polars!$G$18*9.81/(1.225*J33^2*Polars!$G$13)</f>
        <v>0.11966055922099877</v>
      </c>
      <c r="L33" s="102">
        <f>Polars!$G$19+'Plots vs Speed'!K33^2/(PI()*Polars!$G$24*Polars!$G$28)</f>
        <v>0.012152042827268936</v>
      </c>
      <c r="M33" s="52">
        <f t="shared" si="0"/>
        <v>9.84695009076852</v>
      </c>
      <c r="N33" s="50">
        <f>0.5*1.225*J33^2*L33*Polars!$G$13</f>
        <v>846.8104258817473</v>
      </c>
      <c r="O33" s="50">
        <f t="shared" si="1"/>
        <v>66051.21321877629</v>
      </c>
      <c r="P33" s="53">
        <f>1.6/(1+(1+4*L33*Polars!$G$13/(Polars!$G$17^2*PI()))^0.5)</f>
        <v>0.7809205061345051</v>
      </c>
      <c r="Q33" s="50">
        <f t="shared" si="2"/>
        <v>84581.22523344224</v>
      </c>
      <c r="R33" s="50">
        <f>Polars!$G$19*1.225^2*Polars!$G$13^2*'Plots vs Speed'!J33^4*PI()*Polars!$G$24*Polars!$G$28/(4*9.81^2)</f>
        <v>24217223.984191887</v>
      </c>
      <c r="S33" s="50">
        <f>P33*M33/(Ranges!$G$15*9.81)*LN(Polars!$G$18/Ranges!$G$24)/1000</f>
        <v>453.97268659090224</v>
      </c>
      <c r="T33" s="50">
        <f>2*Polars!$G$39*'Plots vs Speed'!P33/(9.81*Ranges!$G$15)*ATAN(R33^0.5*(Polars!$G$18-Ranges!$G$24)/('Plots vs Speed'!R33+Polars!$G$18*Ranges!$G$24))/1000</f>
        <v>437.7568848591235</v>
      </c>
      <c r="U33" s="52">
        <f>2*P33*M33/(Ranges!$G$15*9.81*J33)*((Polars!$G$18/Ranges!$G$24)^0.5-1)/3600</f>
        <v>1.648429936061062</v>
      </c>
      <c r="V33" s="52">
        <f>P33*M33/(Ranges!$G$15*9.81*J33)*LN(Polars!$G$18/Ranges!$G$24)/3600</f>
        <v>1.6167118468336972</v>
      </c>
      <c r="W33" s="52">
        <f>2*Polars!$G$39*'Plots vs Speed'!P33/(9.81*Ranges!$G$15*'Plots vs Speed'!J33)*ATAN('Plots vs Speed'!R33^0.5*(Polars!$G$18-Ranges!$G$24)/('Plots vs Speed'!R33+Polars!$G$18*Ranges!$G$24))/3600</f>
        <v>1.558963265167819</v>
      </c>
    </row>
    <row r="34" spans="10:23" ht="9" customHeight="1">
      <c r="J34" s="101">
        <v>80</v>
      </c>
      <c r="K34" s="54">
        <f>2*Polars!$G$18*9.81/(1.225*J34^2*Polars!$G$13)</f>
        <v>0.11375231910946197</v>
      </c>
      <c r="L34" s="102">
        <f>Polars!$G$19+'Plots vs Speed'!K34^2/(PI()*Polars!$G$24*Polars!$G$28)</f>
        <v>0.012118136839984325</v>
      </c>
      <c r="M34" s="52">
        <f t="shared" si="0"/>
        <v>9.386947895664225</v>
      </c>
      <c r="N34" s="50">
        <f>0.5*1.225*J34^2*L34*Polars!$G$13</f>
        <v>888.307902918211</v>
      </c>
      <c r="O34" s="50">
        <f t="shared" si="1"/>
        <v>71064.63223345688</v>
      </c>
      <c r="P34" s="53">
        <f>1.6/(1+(1+4*L34*Polars!$G$13/(Polars!$G$17^2*PI()))^0.5)</f>
        <v>0.7809712671763424</v>
      </c>
      <c r="Q34" s="50">
        <f t="shared" si="2"/>
        <v>90995.1943435719</v>
      </c>
      <c r="R34" s="50">
        <f>Polars!$G$19*1.225^2*Polars!$G$13^2*'Plots vs Speed'!J34^4*PI()*Polars!$G$24*Polars!$G$28/(4*9.81^2)</f>
        <v>26798216.768671095</v>
      </c>
      <c r="S34" s="50">
        <f>P34*M34/(Ranges!$G$15*9.81)*LN(Polars!$G$18/Ranges!$G$24)/1000</f>
        <v>432.7933943569983</v>
      </c>
      <c r="T34" s="50">
        <f>2*Polars!$G$39*'Plots vs Speed'!P34/(9.81*Ranges!$G$15)*ATAN(R34^0.5*(Polars!$G$18-Ranges!$G$24)/('Plots vs Speed'!R34+Polars!$G$18*Ranges!$G$24))/1000</f>
        <v>417.25142768463724</v>
      </c>
      <c r="U34" s="52">
        <f>2*P34*M34/(Ranges!$G$15*9.81*J34)*((Polars!$G$18/Ranges!$G$24)^0.5-1)/3600</f>
        <v>1.5322372209799986</v>
      </c>
      <c r="V34" s="52">
        <f>P34*M34/(Ranges!$G$15*9.81*J34)*LN(Polars!$G$18/Ranges!$G$24)/3600</f>
        <v>1.5027548415173553</v>
      </c>
      <c r="W34" s="52">
        <f>2*Polars!$G$39*'Plots vs Speed'!P34/(9.81*Ranges!$G$15*'Plots vs Speed'!J34)*ATAN('Plots vs Speed'!R34^0.5*(Polars!$G$18-Ranges!$G$24)/('Plots vs Speed'!R34+Polars!$G$18*Ranges!$G$24))/3600</f>
        <v>1.448789679460546</v>
      </c>
    </row>
    <row r="40" spans="1:9" ht="18">
      <c r="A40" s="409" t="s">
        <v>305</v>
      </c>
      <c r="B40" s="409"/>
      <c r="C40" s="409"/>
      <c r="D40" s="409"/>
      <c r="E40" s="409"/>
      <c r="F40" s="409"/>
      <c r="G40" s="409"/>
      <c r="H40" s="409"/>
      <c r="I40" s="409"/>
    </row>
    <row r="41" spans="21:24" ht="12.75">
      <c r="U41" s="103"/>
      <c r="V41" s="103"/>
      <c r="W41" s="103"/>
      <c r="X41" s="103"/>
    </row>
    <row r="42" spans="10:23" ht="27.75" customHeight="1">
      <c r="J42" s="49" t="s">
        <v>239</v>
      </c>
      <c r="K42" s="4" t="s">
        <v>39</v>
      </c>
      <c r="L42" s="4" t="s">
        <v>40</v>
      </c>
      <c r="M42" s="4" t="s">
        <v>42</v>
      </c>
      <c r="N42" s="4" t="s">
        <v>93</v>
      </c>
      <c r="O42" s="4" t="s">
        <v>75</v>
      </c>
      <c r="P42" s="100" t="s">
        <v>59</v>
      </c>
      <c r="Q42" s="4" t="s">
        <v>78</v>
      </c>
      <c r="R42" s="4" t="s">
        <v>83</v>
      </c>
      <c r="S42" s="49" t="s">
        <v>257</v>
      </c>
      <c r="T42" s="49" t="s">
        <v>243</v>
      </c>
      <c r="U42" s="49" t="s">
        <v>238</v>
      </c>
      <c r="V42" s="49" t="s">
        <v>251</v>
      </c>
      <c r="W42" s="104" t="s">
        <v>304</v>
      </c>
    </row>
    <row r="43" spans="10:23" ht="9" customHeight="1">
      <c r="J43" s="101">
        <v>20</v>
      </c>
      <c r="K43" s="54">
        <f>2*Polars!$G$18*9.81/(1.225*J43^2*Polars!$G$13)</f>
        <v>1.8200371057513915</v>
      </c>
      <c r="L43" s="102">
        <f>Polars!$G$19+'Plots vs Speed'!K43^2/(PI()*Polars!$G$24*Polars!$G$28)</f>
        <v>0.09324303103598748</v>
      </c>
      <c r="M43" s="52">
        <f aca="true" t="shared" si="3" ref="M43:M73">K43/L43</f>
        <v>19.51928294833039</v>
      </c>
      <c r="N43" s="50">
        <f>0.5*1.225*J43^2*L43*Polars!$G$13</f>
        <v>427.1929466913767</v>
      </c>
      <c r="O43" s="50">
        <f aca="true" t="shared" si="4" ref="O43:O73">N43*J43</f>
        <v>8543.858933827534</v>
      </c>
      <c r="P43" s="53">
        <f>1.6/(1+(1+4*L43*Polars!$G$13/(Polars!$G$17^2*PI()))^0.5)</f>
        <v>0.6867736447089975</v>
      </c>
      <c r="Q43" s="50">
        <f aca="true" t="shared" si="5" ref="Q43:Q73">O43/P43</f>
        <v>12440.57485264708</v>
      </c>
      <c r="R43" s="50">
        <f>Polars!$G$19*1.225^2*Polars!$G$13^2*'Plots vs Speed'!J43^4*PI()*Polars!$G$24*Polars!$G$28/(4*9.81^2)</f>
        <v>104680.53425262147</v>
      </c>
      <c r="S43" s="50">
        <f>0.5*1.2225*J43^2*L43*Polars!$G$13</f>
        <v>426.32112435119006</v>
      </c>
      <c r="T43" s="52">
        <f aca="true" t="shared" si="6" ref="T43:T73">S43*J43/1000</f>
        <v>8.526422487023801</v>
      </c>
      <c r="U43" s="101">
        <f>1.6/(1+(1+4*L43*Polars!$G$13/(Polars!$G$17^2*PI()))^0.5)</f>
        <v>0.6867736447089975</v>
      </c>
      <c r="V43" s="52">
        <f aca="true" t="shared" si="7" ref="V43:V73">T43/U43</f>
        <v>12.415185924376367</v>
      </c>
      <c r="W43" s="105"/>
    </row>
    <row r="44" spans="10:23" ht="9" customHeight="1">
      <c r="J44" s="101">
        <v>22</v>
      </c>
      <c r="K44" s="54">
        <f>2*Polars!$G$18*9.81/(1.225*J44^2*Polars!$G$13)</f>
        <v>1.5041628973151995</v>
      </c>
      <c r="L44" s="102">
        <f>Polars!$G$19+'Plots vs Speed'!K44^2/(PI()*Polars!$G$24*Polars!$G$28)</f>
        <v>0.06742668604329449</v>
      </c>
      <c r="M44" s="52">
        <f t="shared" si="3"/>
        <v>22.30812435820115</v>
      </c>
      <c r="N44" s="50">
        <f>0.5*1.225*J44^2*L44*Polars!$G$13</f>
        <v>373.78758814989806</v>
      </c>
      <c r="O44" s="50">
        <f t="shared" si="4"/>
        <v>8223.326939297756</v>
      </c>
      <c r="P44" s="53">
        <f>1.6/(1+(1+4*L44*Polars!$G$13/(Polars!$G$17^2*PI()))^0.5)</f>
        <v>0.711997882341493</v>
      </c>
      <c r="Q44" s="50">
        <f t="shared" si="5"/>
        <v>11549.65083920521</v>
      </c>
      <c r="R44" s="50">
        <f>Polars!$G$19*1.225^2*Polars!$G$13^2*'Plots vs Speed'!J44^4*PI()*Polars!$G$24*Polars!$G$28/(4*9.81^2)</f>
        <v>153262.7701992631</v>
      </c>
      <c r="S44" s="50">
        <f>0.5*1.2225*J44^2*L44*Polars!$G$13</f>
        <v>373.0247563373471</v>
      </c>
      <c r="T44" s="52">
        <f t="shared" si="6"/>
        <v>8.206544639421637</v>
      </c>
      <c r="U44" s="101">
        <f>1.6/(1+(1+4*L44*Polars!$G$13/(Polars!$G$17^2*PI()))^0.5)</f>
        <v>0.711997882341493</v>
      </c>
      <c r="V44" s="52">
        <f t="shared" si="7"/>
        <v>11.526080123206828</v>
      </c>
      <c r="W44" s="105"/>
    </row>
    <row r="45" spans="10:23" ht="9" customHeight="1">
      <c r="J45" s="101">
        <v>24</v>
      </c>
      <c r="K45" s="54">
        <f>2*Polars!$G$18*9.81/(1.225*J45^2*Polars!$G$13)</f>
        <v>1.2639146567717996</v>
      </c>
      <c r="L45" s="102">
        <f>Polars!$G$19+'Plots vs Speed'!K45^2/(PI()*Polars!$G$24*Polars!$G$28)</f>
        <v>0.05107615308448469</v>
      </c>
      <c r="M45" s="52">
        <f t="shared" si="3"/>
        <v>24.745690120420143</v>
      </c>
      <c r="N45" s="50">
        <f>0.5*1.225*J45^2*L45*Polars!$G$13</f>
        <v>336.9677693134559</v>
      </c>
      <c r="O45" s="50">
        <f t="shared" si="4"/>
        <v>8087.226463522942</v>
      </c>
      <c r="P45" s="53">
        <f>1.6/(1+(1+4*L45*Polars!$G$13/(Polars!$G$17^2*PI()))^0.5)</f>
        <v>0.7299364435482085</v>
      </c>
      <c r="Q45" s="50">
        <f t="shared" si="5"/>
        <v>11079.35702485421</v>
      </c>
      <c r="R45" s="50">
        <f>Polars!$G$19*1.225^2*Polars!$G$13^2*'Plots vs Speed'!J45^4*PI()*Polars!$G$24*Polars!$G$28/(4*9.81^2)</f>
        <v>217065.5558262359</v>
      </c>
      <c r="S45" s="50">
        <f>0.5*1.2225*J45^2*L45*Polars!$G$13</f>
        <v>336.28007998832635</v>
      </c>
      <c r="T45" s="52">
        <f t="shared" si="6"/>
        <v>8.070721919719832</v>
      </c>
      <c r="U45" s="101">
        <f>1.6/(1+(1+4*L45*Polars!$G$13/(Polars!$G$17^2*PI()))^0.5)</f>
        <v>0.7299364435482085</v>
      </c>
      <c r="V45" s="52">
        <f t="shared" si="7"/>
        <v>11.056746092150423</v>
      </c>
      <c r="W45" s="105"/>
    </row>
    <row r="46" spans="10:23" ht="9" customHeight="1">
      <c r="J46" s="101">
        <v>26</v>
      </c>
      <c r="K46" s="54">
        <f>2*Polars!$G$18*9.81/(1.225*J46^2*Polars!$G$13)</f>
        <v>1.0769450329889891</v>
      </c>
      <c r="L46" s="102">
        <f>Polars!$G$19+'Plots vs Speed'!K46^2/(PI()*Polars!$G$24*Polars!$G$28)</f>
        <v>0.04031546900878383</v>
      </c>
      <c r="M46" s="52">
        <f t="shared" si="3"/>
        <v>26.71294814291624</v>
      </c>
      <c r="N46" s="50">
        <f>0.5*1.225*J46^2*L46*Polars!$G$13</f>
        <v>312.1519929357259</v>
      </c>
      <c r="O46" s="50">
        <f t="shared" si="4"/>
        <v>8115.951816328873</v>
      </c>
      <c r="P46" s="53">
        <f>1.6/(1+(1+4*L46*Polars!$G$13/(Polars!$G$17^2*PI()))^0.5)</f>
        <v>0.7427402394812406</v>
      </c>
      <c r="Q46" s="50">
        <f t="shared" si="5"/>
        <v>10927.03934015663</v>
      </c>
      <c r="R46" s="50">
        <f>Polars!$G$19*1.225^2*Polars!$G$13^2*'Plots vs Speed'!J46^4*PI()*Polars!$G$24*Polars!$G$28/(4*9.81^2)</f>
        <v>298978.07387891226</v>
      </c>
      <c r="S46" s="50">
        <f>0.5*1.2225*J46^2*L46*Polars!$G$13</f>
        <v>311.5149480521835</v>
      </c>
      <c r="T46" s="52">
        <f t="shared" si="6"/>
        <v>8.099388649356772</v>
      </c>
      <c r="U46" s="101">
        <f>1.6/(1+(1+4*L46*Polars!$G$13/(Polars!$G$17^2*PI()))^0.5)</f>
        <v>0.7427402394812406</v>
      </c>
      <c r="V46" s="52">
        <f t="shared" si="7"/>
        <v>10.904739259870595</v>
      </c>
      <c r="W46" s="105"/>
    </row>
    <row r="47" spans="10:23" ht="9" customHeight="1">
      <c r="J47" s="101">
        <v>28</v>
      </c>
      <c r="K47" s="54">
        <f>2*Polars!$G$18*9.81/(1.225*J47^2*Polars!$G$13)</f>
        <v>0.9285903600772406</v>
      </c>
      <c r="L47" s="102">
        <f>Polars!$G$19+'Plots vs Speed'!K47^2/(PI()*Polars!$G$24*Polars!$G$28)</f>
        <v>0.033000289211783496</v>
      </c>
      <c r="M47" s="52">
        <f t="shared" si="3"/>
        <v>28.13885521177998</v>
      </c>
      <c r="N47" s="50">
        <f>0.5*1.225*J47^2*L47*Polars!$G$13</f>
        <v>296.3340170466208</v>
      </c>
      <c r="O47" s="50">
        <f t="shared" si="4"/>
        <v>8297.352477305381</v>
      </c>
      <c r="P47" s="53">
        <f>1.6/(1+(1+4*L47*Polars!$G$13/(Polars!$G$17^2*PI()))^0.5)</f>
        <v>0.7519592025936379</v>
      </c>
      <c r="Q47" s="50">
        <f t="shared" si="5"/>
        <v>11034.312032735781</v>
      </c>
      <c r="R47" s="50">
        <f>Polars!$G$19*1.225^2*Polars!$G$13^2*'Plots vs Speed'!J47^4*PI()*Polars!$G$24*Polars!$G$28/(4*9.81^2)</f>
        <v>402140.7403848706</v>
      </c>
      <c r="S47" s="50">
        <f>0.5*1.2225*J47^2*L47*Polars!$G$13</f>
        <v>295.72925374652556</v>
      </c>
      <c r="T47" s="52">
        <f t="shared" si="6"/>
        <v>8.280419104902716</v>
      </c>
      <c r="U47" s="101">
        <f>1.6/(1+(1+4*L47*Polars!$G$13/(Polars!$G$17^2*PI()))^0.5)</f>
        <v>0.7519592025936379</v>
      </c>
      <c r="V47" s="52">
        <f t="shared" si="7"/>
        <v>11.011793028587338</v>
      </c>
      <c r="W47" s="105"/>
    </row>
    <row r="48" spans="10:23" ht="9" customHeight="1">
      <c r="J48" s="101">
        <v>30</v>
      </c>
      <c r="K48" s="54">
        <f>2*Polars!$G$18*9.81/(1.225*J48^2*Polars!$G$13)</f>
        <v>0.8089053803339518</v>
      </c>
      <c r="L48" s="102">
        <f>Polars!$G$19+'Plots vs Speed'!K48^2/(PI()*Polars!$G$24*Polars!$G$28)</f>
        <v>0.02788751230340493</v>
      </c>
      <c r="M48" s="52">
        <f t="shared" si="3"/>
        <v>29.00600711649667</v>
      </c>
      <c r="N48" s="50">
        <f>0.5*1.225*J48^2*L48*Polars!$G$13</f>
        <v>287.47493464061176</v>
      </c>
      <c r="O48" s="50">
        <f t="shared" si="4"/>
        <v>8624.248039218353</v>
      </c>
      <c r="P48" s="53">
        <f>1.6/(1+(1+4*L48*Polars!$G$13/(Polars!$G$17^2*PI()))^0.5)</f>
        <v>0.7586739391235695</v>
      </c>
      <c r="Q48" s="50">
        <f t="shared" si="5"/>
        <v>11367.529045720488</v>
      </c>
      <c r="R48" s="50">
        <f>Polars!$G$19*1.225^2*Polars!$G$13^2*'Plots vs Speed'!J48^4*PI()*Polars!$G$24*Polars!$G$28/(4*9.81^2)</f>
        <v>529945.2046538963</v>
      </c>
      <c r="S48" s="50">
        <f>0.5*1.2225*J48^2*L48*Polars!$G$13</f>
        <v>286.88825110052886</v>
      </c>
      <c r="T48" s="52">
        <f t="shared" si="6"/>
        <v>8.606647533015867</v>
      </c>
      <c r="U48" s="101">
        <f>1.6/(1+(1+4*L48*Polars!$G$13/(Polars!$G$17^2*PI()))^0.5)</f>
        <v>0.7586739391235695</v>
      </c>
      <c r="V48" s="52">
        <f t="shared" si="7"/>
        <v>11.34433000685167</v>
      </c>
      <c r="W48" s="105"/>
    </row>
    <row r="49" spans="10:23" ht="9" customHeight="1">
      <c r="J49" s="101">
        <v>32</v>
      </c>
      <c r="K49" s="54">
        <f>2*Polars!$G$18*9.81/(1.225*J49^2*Polars!$G$13)</f>
        <v>0.7109519944341373</v>
      </c>
      <c r="L49" s="102">
        <f>Polars!$G$19+'Plots vs Speed'!K49^2/(PI()*Polars!$G$24*Polars!$G$28)</f>
        <v>0.02422722031188774</v>
      </c>
      <c r="M49" s="52">
        <f t="shared" si="3"/>
        <v>29.345173952345228</v>
      </c>
      <c r="N49" s="50">
        <f>0.5*1.225*J49^2*L49*Polars!$G$13</f>
        <v>284.152345238819</v>
      </c>
      <c r="O49" s="50">
        <f t="shared" si="4"/>
        <v>9092.875047642208</v>
      </c>
      <c r="P49" s="53">
        <f>1.6/(1+(1+4*L49*Polars!$G$13/(Polars!$G$17^2*PI()))^0.5)</f>
        <v>0.7636276942188943</v>
      </c>
      <c r="Q49" s="50">
        <f t="shared" si="5"/>
        <v>11907.471555157781</v>
      </c>
      <c r="R49" s="50">
        <f>Polars!$G$19*1.225^2*Polars!$G$13^2*'Plots vs Speed'!J49^4*PI()*Polars!$G$24*Polars!$G$28/(4*9.81^2)</f>
        <v>686034.3492779802</v>
      </c>
      <c r="S49" s="50">
        <f>0.5*1.2225*J49^2*L49*Polars!$G$13</f>
        <v>283.57244249343364</v>
      </c>
      <c r="T49" s="52">
        <f t="shared" si="6"/>
        <v>9.074318159789877</v>
      </c>
      <c r="U49" s="101">
        <f>1.6/(1+(1+4*L49*Polars!$G$13/(Polars!$G$17^2*PI()))^0.5)</f>
        <v>0.7636276942188943</v>
      </c>
      <c r="V49" s="52">
        <f t="shared" si="7"/>
        <v>11.883170592800317</v>
      </c>
      <c r="W49" s="105"/>
    </row>
    <row r="50" spans="10:23" ht="9" customHeight="1">
      <c r="J50" s="101">
        <v>34</v>
      </c>
      <c r="K50" s="54">
        <f>2*Polars!$G$18*9.81/(1.225*J50^2*Polars!$G$13)</f>
        <v>0.629770624827471</v>
      </c>
      <c r="L50" s="102">
        <f>Polars!$G$19+'Plots vs Speed'!K50^2/(PI()*Polars!$G$24*Polars!$G$28)</f>
        <v>0.021551204012881485</v>
      </c>
      <c r="M50" s="52">
        <f t="shared" si="3"/>
        <v>29.222062231467323</v>
      </c>
      <c r="N50" s="50">
        <f>0.5*1.225*J50^2*L50*Polars!$G$13</f>
        <v>285.3494710246978</v>
      </c>
      <c r="O50" s="50">
        <f t="shared" si="4"/>
        <v>9701.882014839724</v>
      </c>
      <c r="P50" s="53">
        <f>1.6/(1+(1+4*L50*Polars!$G$13/(Polars!$G$17^2*PI()))^0.5)</f>
        <v>0.7673306472090714</v>
      </c>
      <c r="Q50" s="50">
        <f t="shared" si="5"/>
        <v>12643.678510857515</v>
      </c>
      <c r="R50" s="50">
        <f>Polars!$G$19*1.225^2*Polars!$G$13^2*'Plots vs Speed'!J50^4*PI()*Polars!$G$24*Polars!$G$28/(4*9.81^2)</f>
        <v>874302.2901313199</v>
      </c>
      <c r="S50" s="50">
        <f>0.5*1.2225*J50^2*L50*Polars!$G$13</f>
        <v>284.76712516546365</v>
      </c>
      <c r="T50" s="52">
        <f t="shared" si="6"/>
        <v>9.682082255625765</v>
      </c>
      <c r="U50" s="101">
        <f>1.6/(1+(1+4*L50*Polars!$G$13/(Polars!$G$17^2*PI()))^0.5)</f>
        <v>0.7673306472090714</v>
      </c>
      <c r="V50" s="52">
        <f t="shared" si="7"/>
        <v>12.617875085325151</v>
      </c>
      <c r="W50" s="105"/>
    </row>
    <row r="51" spans="10:23" ht="9" customHeight="1">
      <c r="J51" s="101">
        <v>36</v>
      </c>
      <c r="K51" s="54">
        <f>2*Polars!$G$18*9.81/(1.225*J51^2*Polars!$G$13)</f>
        <v>0.5617398474541331</v>
      </c>
      <c r="L51" s="102">
        <f>Polars!$G$19+'Plots vs Speed'!K51^2/(PI()*Polars!$G$24*Polars!$G$28)</f>
        <v>0.019558252461132776</v>
      </c>
      <c r="M51" s="52">
        <f t="shared" si="3"/>
        <v>28.72137214561746</v>
      </c>
      <c r="N51" s="50">
        <f>0.5*1.225*J51^2*L51*Polars!$G$13</f>
        <v>290.3238730282026</v>
      </c>
      <c r="O51" s="50">
        <f t="shared" si="4"/>
        <v>10451.659429015295</v>
      </c>
      <c r="P51" s="53">
        <f>1.6/(1+(1+4*L51*Polars!$G$13/(Polars!$G$17^2*PI()))^0.5)</f>
        <v>0.7701346710297656</v>
      </c>
      <c r="Q51" s="50">
        <f t="shared" si="5"/>
        <v>13571.210104123906</v>
      </c>
      <c r="R51" s="50">
        <f>Polars!$G$19*1.225^2*Polars!$G$13^2*'Plots vs Speed'!J51^4*PI()*Polars!$G$24*Polars!$G$28/(4*9.81^2)</f>
        <v>1098894.3763703192</v>
      </c>
      <c r="S51" s="50">
        <f>0.5*1.2225*J51^2*L51*Polars!$G$13</f>
        <v>289.731375328145</v>
      </c>
      <c r="T51" s="52">
        <f t="shared" si="6"/>
        <v>10.430329511813222</v>
      </c>
      <c r="U51" s="101">
        <f>1.6/(1+(1+4*L51*Polars!$G$13/(Polars!$G$17^2*PI()))^0.5)</f>
        <v>0.7701346710297656</v>
      </c>
      <c r="V51" s="52">
        <f t="shared" si="7"/>
        <v>13.54351375697263</v>
      </c>
      <c r="W51" s="105"/>
    </row>
    <row r="52" spans="10:23" ht="9" customHeight="1">
      <c r="J52" s="101">
        <v>38</v>
      </c>
      <c r="K52" s="54">
        <f>2*Polars!$G$18*9.81/(1.225*J52^2*Polars!$G$13)</f>
        <v>0.5041654032552331</v>
      </c>
      <c r="L52" s="102">
        <f>Polars!$G$19+'Plots vs Speed'!K52^2/(PI()*Polars!$G$24*Polars!$G$28)</f>
        <v>0.018049417287773074</v>
      </c>
      <c r="M52" s="52">
        <f t="shared" si="3"/>
        <v>27.932503039683265</v>
      </c>
      <c r="N52" s="50">
        <f>0.5*1.225*J52^2*L52*Polars!$G$13</f>
        <v>298.52319314719574</v>
      </c>
      <c r="O52" s="50">
        <f t="shared" si="4"/>
        <v>11343.881339593438</v>
      </c>
      <c r="P52" s="53">
        <f>1.6/(1+(1+4*L52*Polars!$G$13/(Polars!$G$17^2*PI()))^0.5)</f>
        <v>0.7722845590190982</v>
      </c>
      <c r="Q52" s="50">
        <f t="shared" si="5"/>
        <v>14688.73254956909</v>
      </c>
      <c r="R52" s="50">
        <f>Polars!$G$19*1.225^2*Polars!$G$13^2*'Plots vs Speed'!J52^4*PI()*Polars!$G$24*Polars!$G$28/(4*9.81^2)</f>
        <v>1364207.1904335886</v>
      </c>
      <c r="S52" s="50">
        <f>0.5*1.2225*J52^2*L52*Polars!$G$13</f>
        <v>297.9139621407729</v>
      </c>
      <c r="T52" s="52">
        <f t="shared" si="6"/>
        <v>11.320730561349372</v>
      </c>
      <c r="U52" s="101">
        <f>1.6/(1+(1+4*L52*Polars!$G$13/(Polars!$G$17^2*PI()))^0.5)</f>
        <v>0.7722845590190982</v>
      </c>
      <c r="V52" s="52">
        <f t="shared" si="7"/>
        <v>14.658755544365889</v>
      </c>
      <c r="W52" s="105"/>
    </row>
    <row r="53" spans="10:23" ht="9" customHeight="1">
      <c r="J53" s="101">
        <v>40</v>
      </c>
      <c r="K53" s="54">
        <f>2*Polars!$G$18*9.81/(1.225*J53^2*Polars!$G$13)</f>
        <v>0.4550092764378479</v>
      </c>
      <c r="L53" s="102">
        <f>Polars!$G$19+'Plots vs Speed'!K53^2/(PI()*Polars!$G$24*Polars!$G$28)</f>
        <v>0.016890189439749216</v>
      </c>
      <c r="M53" s="52">
        <f t="shared" si="3"/>
        <v>26.939264243362082</v>
      </c>
      <c r="N53" s="50">
        <f>0.5*1.225*J53^2*L53*Polars!$G$13</f>
        <v>309.5296116728441</v>
      </c>
      <c r="O53" s="50">
        <f t="shared" si="4"/>
        <v>12381.184466913764</v>
      </c>
      <c r="P53" s="53">
        <f>1.6/(1+(1+4*L53*Polars!$G$13/(Polars!$G$17^2*PI()))^0.5)</f>
        <v>0.7739524442063221</v>
      </c>
      <c r="Q53" s="50">
        <f t="shared" si="5"/>
        <v>15997.345262744797</v>
      </c>
      <c r="R53" s="50">
        <f>Polars!$G$19*1.225^2*Polars!$G$13^2*'Plots vs Speed'!J53^4*PI()*Polars!$G$24*Polars!$G$28/(4*9.81^2)</f>
        <v>1674888.5480419435</v>
      </c>
      <c r="S53" s="50">
        <f>0.5*1.2225*J53^2*L53*Polars!$G$13</f>
        <v>308.89791858779745</v>
      </c>
      <c r="T53" s="52">
        <f t="shared" si="6"/>
        <v>12.355916743511898</v>
      </c>
      <c r="U53" s="101">
        <f>1.6/(1+(1+4*L53*Polars!$G$13/(Polars!$G$17^2*PI()))^0.5)</f>
        <v>0.7739524442063221</v>
      </c>
      <c r="V53" s="52">
        <f t="shared" si="7"/>
        <v>15.964697619351439</v>
      </c>
      <c r="W53" s="105"/>
    </row>
    <row r="54" spans="10:23" ht="9" customHeight="1">
      <c r="J54" s="101">
        <v>42</v>
      </c>
      <c r="K54" s="54">
        <f>2*Polars!$G$18*9.81/(1.225*J54^2*Polars!$G$13)</f>
        <v>0.4127068267009958</v>
      </c>
      <c r="L54" s="102">
        <f>Polars!$G$19+'Plots vs Speed'!K54^2/(PI()*Polars!$G$24*Polars!$G$28)</f>
        <v>0.015987711449241184</v>
      </c>
      <c r="M54" s="52">
        <f t="shared" si="3"/>
        <v>25.814002711475247</v>
      </c>
      <c r="N54" s="50">
        <f>0.5*1.225*J54^2*L54*Polars!$G$13</f>
        <v>323.02235702072034</v>
      </c>
      <c r="O54" s="50">
        <f t="shared" si="4"/>
        <v>13566.938994870254</v>
      </c>
      <c r="P54" s="53">
        <f>1.6/(1+(1+4*L54*Polars!$G$13/(Polars!$G$17^2*PI()))^0.5)</f>
        <v>0.7752607890801911</v>
      </c>
      <c r="Q54" s="50">
        <f t="shared" si="5"/>
        <v>17499.839003810266</v>
      </c>
      <c r="R54" s="50">
        <f>Polars!$G$19*1.225^2*Polars!$G$13^2*'Plots vs Speed'!J54^4*PI()*Polars!$G$24*Polars!$G$28/(4*9.81^2)</f>
        <v>2035837.498198408</v>
      </c>
      <c r="S54" s="50">
        <f>0.5*1.2225*J54^2*L54*Polars!$G$13</f>
        <v>322.363127720678</v>
      </c>
      <c r="T54" s="52">
        <f t="shared" si="6"/>
        <v>13.539251364268475</v>
      </c>
      <c r="U54" s="101">
        <f>1.6/(1+(1+4*L54*Polars!$G$13/(Polars!$G$17^2*PI()))^0.5)</f>
        <v>0.7752607890801911</v>
      </c>
      <c r="V54" s="52">
        <f t="shared" si="7"/>
        <v>17.464125046659632</v>
      </c>
      <c r="W54" s="105"/>
    </row>
    <row r="55" spans="10:23" ht="9" customHeight="1">
      <c r="J55" s="101">
        <v>44</v>
      </c>
      <c r="K55" s="54">
        <f>2*Polars!$G$18*9.81/(1.225*J55^2*Polars!$G$13)</f>
        <v>0.37604072432879987</v>
      </c>
      <c r="L55" s="102">
        <f>Polars!$G$19+'Plots vs Speed'!K55^2/(PI()*Polars!$G$24*Polars!$G$28)</f>
        <v>0.015276667877705905</v>
      </c>
      <c r="M55" s="52">
        <f t="shared" si="3"/>
        <v>24.61536294034232</v>
      </c>
      <c r="N55" s="50">
        <f>0.5*1.225*J55^2*L55*Polars!$G$13</f>
        <v>338.7518607874745</v>
      </c>
      <c r="O55" s="50">
        <f t="shared" si="4"/>
        <v>14905.081874648879</v>
      </c>
      <c r="P55" s="53">
        <f>1.6/(1+(1+4*L55*Polars!$G$13/(Polars!$G$17^2*PI()))^0.5)</f>
        <v>0.7762977694765003</v>
      </c>
      <c r="Q55" s="50">
        <f t="shared" si="5"/>
        <v>19200.212161758733</v>
      </c>
      <c r="R55" s="50">
        <f>Polars!$G$19*1.225^2*Polars!$G$13^2*'Plots vs Speed'!J55^4*PI()*Polars!$G$24*Polars!$G$28/(4*9.81^2)</f>
        <v>2452204.3231882094</v>
      </c>
      <c r="S55" s="50">
        <f>0.5*1.2225*J55^2*L55*Polars!$G$13</f>
        <v>338.06053045933675</v>
      </c>
      <c r="T55" s="52">
        <f t="shared" si="6"/>
        <v>14.874663340210816</v>
      </c>
      <c r="U55" s="101">
        <f>1.6/(1+(1+4*L55*Polars!$G$13/(Polars!$G$17^2*PI()))^0.5)</f>
        <v>0.7762977694765003</v>
      </c>
      <c r="V55" s="52">
        <f t="shared" si="7"/>
        <v>19.161028055306158</v>
      </c>
      <c r="W55" s="105"/>
    </row>
    <row r="56" spans="10:23" ht="9" customHeight="1">
      <c r="J56" s="101">
        <v>46</v>
      </c>
      <c r="K56" s="54">
        <f>2*Polars!$G$18*9.81/(1.225*J56^2*Polars!$G$13)</f>
        <v>0.34405238293977153</v>
      </c>
      <c r="L56" s="102">
        <f>Polars!$G$19+'Plots vs Speed'!K56^2/(PI()*Polars!$G$24*Polars!$G$28)</f>
        <v>0.014710332332859998</v>
      </c>
      <c r="M56" s="52">
        <f t="shared" si="3"/>
        <v>23.38848471636674</v>
      </c>
      <c r="N56" s="50">
        <f>0.5*1.225*J56^2*L56*Polars!$G$13</f>
        <v>356.5216003140599</v>
      </c>
      <c r="O56" s="50">
        <f t="shared" si="4"/>
        <v>16399.993614446757</v>
      </c>
      <c r="P56" s="53">
        <f>1.6/(1+(1+4*L56*Polars!$G$13/(Polars!$G$17^2*PI()))^0.5)</f>
        <v>0.7771276339370844</v>
      </c>
      <c r="Q56" s="50">
        <f t="shared" si="5"/>
        <v>21103.346346546838</v>
      </c>
      <c r="R56" s="50">
        <f>Polars!$G$19*1.225^2*Polars!$G$13^2*'Plots vs Speed'!J56^4*PI()*Polars!$G$24*Polars!$G$28/(4*9.81^2)</f>
        <v>2929390.538578784</v>
      </c>
      <c r="S56" s="50">
        <f>0.5*1.2225*J56^2*L56*Polars!$G$13</f>
        <v>355.7940052113781</v>
      </c>
      <c r="T56" s="52">
        <f t="shared" si="6"/>
        <v>16.366524239723393</v>
      </c>
      <c r="U56" s="101">
        <f>1.6/(1+(1+4*L56*Polars!$G$13/(Polars!$G$17^2*PI()))^0.5)</f>
        <v>0.7771276339370844</v>
      </c>
      <c r="V56" s="52">
        <f t="shared" si="7"/>
        <v>21.06027829277837</v>
      </c>
      <c r="W56" s="105"/>
    </row>
    <row r="57" spans="10:23" ht="9" customHeight="1">
      <c r="J57" s="101">
        <v>48</v>
      </c>
      <c r="K57" s="54">
        <f>2*Polars!$G$18*9.81/(1.225*J57^2*Polars!$G$13)</f>
        <v>0.3159786641929499</v>
      </c>
      <c r="L57" s="102">
        <f>Polars!$G$19+'Plots vs Speed'!K57^2/(PI()*Polars!$G$24*Polars!$G$28)</f>
        <v>0.014254759567780294</v>
      </c>
      <c r="M57" s="52">
        <f t="shared" si="3"/>
        <v>22.16653761787391</v>
      </c>
      <c r="N57" s="50">
        <f>0.5*1.225*J57^2*L57*Polars!$G$13</f>
        <v>376.175122328364</v>
      </c>
      <c r="O57" s="50">
        <f t="shared" si="4"/>
        <v>18056.40587176147</v>
      </c>
      <c r="P57" s="53">
        <f>1.6/(1+(1+4*L57*Polars!$G$13/(Polars!$G$17^2*PI()))^0.5)</f>
        <v>0.7777977414363141</v>
      </c>
      <c r="Q57" s="50">
        <f t="shared" si="5"/>
        <v>23214.783111118002</v>
      </c>
      <c r="R57" s="50">
        <f>Polars!$G$19*1.225^2*Polars!$G$13^2*'Plots vs Speed'!J57^4*PI()*Polars!$G$24*Polars!$G$28/(4*9.81^2)</f>
        <v>3473048.8932197746</v>
      </c>
      <c r="S57" s="50">
        <f>0.5*1.2225*J57^2*L57*Polars!$G$13</f>
        <v>375.40741799708155</v>
      </c>
      <c r="T57" s="52">
        <f t="shared" si="6"/>
        <v>18.019556063859913</v>
      </c>
      <c r="U57" s="101">
        <f>1.6/(1+(1+4*L57*Polars!$G$13/(Polars!$G$17^2*PI()))^0.5)</f>
        <v>0.7777977414363141</v>
      </c>
      <c r="V57" s="52">
        <f t="shared" si="7"/>
        <v>23.16740600272796</v>
      </c>
      <c r="W57" s="105"/>
    </row>
    <row r="58" spans="10:23" ht="9" customHeight="1">
      <c r="J58" s="101">
        <v>50</v>
      </c>
      <c r="K58" s="54">
        <f>2*Polars!$G$18*9.81/(1.225*J58^2*Polars!$G$13)</f>
        <v>0.2912059369202226</v>
      </c>
      <c r="L58" s="102">
        <f>Polars!$G$19+'Plots vs Speed'!K58^2/(PI()*Polars!$G$24*Polars!$G$28)</f>
        <v>0.013884941594521279</v>
      </c>
      <c r="M58" s="52">
        <f t="shared" si="3"/>
        <v>20.97278803355764</v>
      </c>
      <c r="N58" s="50">
        <f>0.5*1.225*J58^2*L58*Polars!$G$13</f>
        <v>397.5866244706202</v>
      </c>
      <c r="O58" s="50">
        <f t="shared" si="4"/>
        <v>19879.33122353101</v>
      </c>
      <c r="P58" s="53">
        <f>1.6/(1+(1+4*L58*Polars!$G$13/(Polars!$G$17^2*PI()))^0.5)</f>
        <v>0.7783433914723538</v>
      </c>
      <c r="Q58" s="50">
        <f t="shared" si="5"/>
        <v>25540.5665948114</v>
      </c>
      <c r="R58" s="50">
        <f>Polars!$G$19*1.225^2*Polars!$G$13^2*'Plots vs Speed'!J58^4*PI()*Polars!$G$24*Polars!$G$28/(4*9.81^2)</f>
        <v>4089083.3692430267</v>
      </c>
      <c r="S58" s="50">
        <f>0.5*1.2225*J58^2*L58*Polars!$G$13</f>
        <v>396.77522319619044</v>
      </c>
      <c r="T58" s="52">
        <f t="shared" si="6"/>
        <v>19.838761159809522</v>
      </c>
      <c r="U58" s="101">
        <f>1.6/(1+(1+4*L58*Polars!$G$13/(Polars!$G$17^2*PI()))^0.5)</f>
        <v>0.7783433914723538</v>
      </c>
      <c r="V58" s="52">
        <f t="shared" si="7"/>
        <v>25.48844298951587</v>
      </c>
      <c r="W58" s="105"/>
    </row>
    <row r="59" spans="10:23" ht="9" customHeight="1">
      <c r="J59" s="101">
        <v>52</v>
      </c>
      <c r="K59" s="54">
        <f>2*Polars!$G$18*9.81/(1.225*J59^2*Polars!$G$13)</f>
        <v>0.2692362582472473</v>
      </c>
      <c r="L59" s="102">
        <f>Polars!$G$19+'Plots vs Speed'!K59^2/(PI()*Polars!$G$24*Polars!$G$28)</f>
        <v>0.013582216813048989</v>
      </c>
      <c r="M59" s="52">
        <f t="shared" si="3"/>
        <v>19.82270360966268</v>
      </c>
      <c r="N59" s="50">
        <f>0.5*1.225*J59^2*L59*Polars!$G$13</f>
        <v>420.65402198393144</v>
      </c>
      <c r="O59" s="50">
        <f t="shared" si="4"/>
        <v>21874.009143164436</v>
      </c>
      <c r="P59" s="53">
        <f>1.6/(1+(1+4*L59*Polars!$G$13/(Polars!$G$17^2*PI()))^0.5)</f>
        <v>0.7787911751163364</v>
      </c>
      <c r="Q59" s="50">
        <f t="shared" si="5"/>
        <v>28087.13021163456</v>
      </c>
      <c r="R59" s="50">
        <f>Polars!$G$19*1.225^2*Polars!$G$13^2*'Plots vs Speed'!J59^4*PI()*Polars!$G$24*Polars!$G$28/(4*9.81^2)</f>
        <v>4783649.182062596</v>
      </c>
      <c r="S59" s="50">
        <f>0.5*1.2225*J59^2*L59*Polars!$G$13</f>
        <v>419.7955443880458</v>
      </c>
      <c r="T59" s="52">
        <f t="shared" si="6"/>
        <v>21.82936830817838</v>
      </c>
      <c r="U59" s="101">
        <f>1.6/(1+(1+4*L59*Polars!$G$13/(Polars!$G$17^2*PI()))^0.5)</f>
        <v>0.7787911751163364</v>
      </c>
      <c r="V59" s="52">
        <f t="shared" si="7"/>
        <v>28.02980953773326</v>
      </c>
      <c r="W59" s="105"/>
    </row>
    <row r="60" spans="10:23" ht="9" customHeight="1">
      <c r="J60" s="101">
        <v>54</v>
      </c>
      <c r="K60" s="54">
        <f>2*Polars!$G$18*9.81/(1.225*J60^2*Polars!$G$13)</f>
        <v>0.24966215442405917</v>
      </c>
      <c r="L60" s="102">
        <f>Polars!$G$19+'Plots vs Speed'!K60^2/(PI()*Polars!$G$24*Polars!$G$28)</f>
        <v>0.013332494313310178</v>
      </c>
      <c r="M60" s="52">
        <f t="shared" si="3"/>
        <v>18.725839933403527</v>
      </c>
      <c r="N60" s="50">
        <f>0.5*1.225*J60^2*L60*Polars!$G$13</f>
        <v>445.29377745697894</v>
      </c>
      <c r="O60" s="50">
        <f t="shared" si="4"/>
        <v>24045.863982676863</v>
      </c>
      <c r="P60" s="53">
        <f>1.6/(1+(1+4*L60*Polars!$G$13/(Polars!$G$17^2*PI()))^0.5)</f>
        <v>0.7791613256981762</v>
      </c>
      <c r="Q60" s="50">
        <f t="shared" si="5"/>
        <v>30861.21344784445</v>
      </c>
      <c r="R60" s="50">
        <f>Polars!$G$19*1.225^2*Polars!$G$13^2*'Plots vs Speed'!J60^4*PI()*Polars!$G$24*Polars!$G$28/(4*9.81^2)</f>
        <v>5563152.780374741</v>
      </c>
      <c r="S60" s="50">
        <f>0.5*1.2225*J60^2*L60*Polars!$G$13</f>
        <v>444.3850146458422</v>
      </c>
      <c r="T60" s="52">
        <f t="shared" si="6"/>
        <v>23.99679079087548</v>
      </c>
      <c r="U60" s="101">
        <f>1.6/(1+(1+4*L60*Polars!$G$13/(Polars!$G$17^2*PI()))^0.5)</f>
        <v>0.7791613256981762</v>
      </c>
      <c r="V60" s="52">
        <f t="shared" si="7"/>
        <v>30.798231379583537</v>
      </c>
      <c r="W60" s="105"/>
    </row>
    <row r="61" spans="10:23" ht="9" customHeight="1">
      <c r="J61" s="101">
        <v>56</v>
      </c>
      <c r="K61" s="54">
        <f>2*Polars!$G$18*9.81/(1.225*J61^2*Polars!$G$13)</f>
        <v>0.23214759001931015</v>
      </c>
      <c r="L61" s="102">
        <f>Polars!$G$19+'Plots vs Speed'!K61^2/(PI()*Polars!$G$24*Polars!$G$28)</f>
        <v>0.013125018075736468</v>
      </c>
      <c r="M61" s="52">
        <f t="shared" si="3"/>
        <v>17.687411070958387</v>
      </c>
      <c r="N61" s="50">
        <f>0.5*1.225*J61^2*L61*Polars!$G$13</f>
        <v>471.43699926165516</v>
      </c>
      <c r="O61" s="50">
        <f t="shared" si="4"/>
        <v>26400.471958652688</v>
      </c>
      <c r="P61" s="53">
        <f>1.6/(1+(1+4*L61*Polars!$G$13/(Polars!$G$17^2*PI()))^0.5)</f>
        <v>0.7794693859114077</v>
      </c>
      <c r="Q61" s="50">
        <f t="shared" si="5"/>
        <v>33869.799681463424</v>
      </c>
      <c r="R61" s="50">
        <f>Polars!$G$19*1.225^2*Polars!$G$13^2*'Plots vs Speed'!J61^4*PI()*Polars!$G$24*Polars!$G$28/(4*9.81^2)</f>
        <v>6434251.84615793</v>
      </c>
      <c r="S61" s="50">
        <f>0.5*1.2225*J61^2*L61*Polars!$G$13</f>
        <v>470.47488293663133</v>
      </c>
      <c r="T61" s="52">
        <f t="shared" si="6"/>
        <v>26.346593444451354</v>
      </c>
      <c r="U61" s="101">
        <f>1.6/(1+(1+4*L61*Polars!$G$13/(Polars!$G$17^2*PI()))^0.5)</f>
        <v>0.7794693859114077</v>
      </c>
      <c r="V61" s="52">
        <f t="shared" si="7"/>
        <v>33.80067764129717</v>
      </c>
      <c r="W61" s="105"/>
    </row>
    <row r="62" spans="10:23" ht="9" customHeight="1">
      <c r="J62" s="101">
        <v>58</v>
      </c>
      <c r="K62" s="54">
        <f>2*Polars!$G$18*9.81/(1.225*J62^2*Polars!$G$13)</f>
        <v>0.21641344895973738</v>
      </c>
      <c r="L62" s="102">
        <f>Polars!$G$19+'Plots vs Speed'!K62^2/(PI()*Polars!$G$24*Polars!$G$28)</f>
        <v>0.012951494682254825</v>
      </c>
      <c r="M62" s="52">
        <f t="shared" si="3"/>
        <v>16.709534634350042</v>
      </c>
      <c r="N62" s="50">
        <f>0.5*1.225*J62^2*L62*Polars!$G$13</f>
        <v>499.02646497757155</v>
      </c>
      <c r="O62" s="50">
        <f t="shared" si="4"/>
        <v>28943.53496869915</v>
      </c>
      <c r="P62" s="53">
        <f>1.6/(1+(1+4*L62*Polars!$G$13/(Polars!$G$17^2*PI()))^0.5)</f>
        <v>0.7797274028438602</v>
      </c>
      <c r="Q62" s="50">
        <f t="shared" si="5"/>
        <v>37120.06896658353</v>
      </c>
      <c r="R62" s="50">
        <f>Polars!$G$19*1.225^2*Polars!$G$13^2*'Plots vs Speed'!J62^4*PI()*Polars!$G$24*Polars!$G$28/(4*9.81^2)</f>
        <v>7403855.2946728375</v>
      </c>
      <c r="S62" s="50">
        <f>0.5*1.2225*J62^2*L62*Polars!$G$13</f>
        <v>498.0080436204744</v>
      </c>
      <c r="T62" s="52">
        <f t="shared" si="6"/>
        <v>28.884466529987513</v>
      </c>
      <c r="U62" s="101">
        <f>1.6/(1+(1+4*L62*Polars!$G$13/(Polars!$G$17^2*PI()))^0.5)</f>
        <v>0.7797274028438602</v>
      </c>
      <c r="V62" s="52">
        <f t="shared" si="7"/>
        <v>37.04431372379457</v>
      </c>
      <c r="W62" s="105"/>
    </row>
    <row r="63" spans="10:23" ht="9" customHeight="1">
      <c r="J63" s="101">
        <v>60</v>
      </c>
      <c r="K63" s="54">
        <f>2*Polars!$G$18*9.81/(1.225*J63^2*Polars!$G$13)</f>
        <v>0.20222634508348794</v>
      </c>
      <c r="L63" s="102">
        <f>Polars!$G$19+'Plots vs Speed'!K63^2/(PI()*Polars!$G$24*Polars!$G$28)</f>
        <v>0.012805469518962808</v>
      </c>
      <c r="M63" s="52">
        <f t="shared" si="3"/>
        <v>15.792185111527832</v>
      </c>
      <c r="N63" s="50">
        <f>0.5*1.225*J63^2*L63*Polars!$G$13</f>
        <v>528.0143274101529</v>
      </c>
      <c r="O63" s="50">
        <f t="shared" si="4"/>
        <v>31680.859644609172</v>
      </c>
      <c r="P63" s="53">
        <f>1.6/(1+(1+4*L63*Polars!$G$13/(Polars!$G$17^2*PI()))^0.5)</f>
        <v>0.7799447935297894</v>
      </c>
      <c r="Q63" s="50">
        <f t="shared" si="5"/>
        <v>40619.36166178042</v>
      </c>
      <c r="R63" s="50">
        <f>Polars!$G$19*1.225^2*Polars!$G$13^2*'Plots vs Speed'!J63^4*PI()*Polars!$G$24*Polars!$G$28/(4*9.81^2)</f>
        <v>8479123.27446234</v>
      </c>
      <c r="S63" s="50">
        <f>0.5*1.2225*J63^2*L63*Polars!$G$13</f>
        <v>526.9367471501322</v>
      </c>
      <c r="T63" s="52">
        <f t="shared" si="6"/>
        <v>31.616204829007934</v>
      </c>
      <c r="U63" s="101">
        <f>1.6/(1+(1+4*L63*Polars!$G$13/(Polars!$G$17^2*PI()))^0.5)</f>
        <v>0.7799447935297894</v>
      </c>
      <c r="V63" s="52">
        <f t="shared" si="7"/>
        <v>40.53646500532781</v>
      </c>
      <c r="W63" s="105"/>
    </row>
    <row r="64" spans="10:23" ht="9" customHeight="1">
      <c r="J64" s="101">
        <v>62</v>
      </c>
      <c r="K64" s="54">
        <f>2*Polars!$G$18*9.81/(1.225*J64^2*Polars!$G$13)</f>
        <v>0.18938991735186173</v>
      </c>
      <c r="L64" s="102">
        <f>Polars!$G$19+'Plots vs Speed'!K64^2/(PI()*Polars!$G$24*Polars!$G$28)</f>
        <v>0.012681875247406257</v>
      </c>
      <c r="M64" s="52">
        <f t="shared" si="3"/>
        <v>14.933904778049007</v>
      </c>
      <c r="N64" s="50">
        <f>0.5*1.225*J64^2*L64*Polars!$G$13</f>
        <v>558.3603299959809</v>
      </c>
      <c r="O64" s="50">
        <f t="shared" si="4"/>
        <v>34618.34045975082</v>
      </c>
      <c r="P64" s="53">
        <f>1.6/(1+(1+4*L64*Polars!$G$13/(Polars!$G$17^2*PI()))^0.5)</f>
        <v>0.7801289781367211</v>
      </c>
      <c r="Q64" s="50">
        <f t="shared" si="5"/>
        <v>44375.150045616945</v>
      </c>
      <c r="R64" s="50">
        <f>Polars!$G$19*1.225^2*Polars!$G$13^2*'Plots vs Speed'!J64^4*PI()*Polars!$G$24*Polars!$G$28/(4*9.81^2)</f>
        <v>9667467.167351523</v>
      </c>
      <c r="S64" s="50">
        <f>0.5*1.2225*J64^2*L64*Polars!$G$13</f>
        <v>557.220819118438</v>
      </c>
      <c r="T64" s="52">
        <f t="shared" si="6"/>
        <v>34.547690785343164</v>
      </c>
      <c r="U64" s="101">
        <f>1.6/(1+(1+4*L64*Polars!$G$13/(Polars!$G$17^2*PI()))^0.5)</f>
        <v>0.7801289781367211</v>
      </c>
      <c r="V64" s="52">
        <f t="shared" si="7"/>
        <v>44.284588514911604</v>
      </c>
      <c r="W64" s="105"/>
    </row>
    <row r="65" spans="10:23" ht="9" customHeight="1">
      <c r="J65" s="101">
        <v>64</v>
      </c>
      <c r="K65" s="54">
        <f>2*Polars!$G$18*9.81/(1.225*J65^2*Polars!$G$13)</f>
        <v>0.17773799860853431</v>
      </c>
      <c r="L65" s="102">
        <f>Polars!$G$19+'Plots vs Speed'!K65^2/(PI()*Polars!$G$24*Polars!$G$28)</f>
        <v>0.012576701269492983</v>
      </c>
      <c r="M65" s="52">
        <f t="shared" si="3"/>
        <v>14.132322522414468</v>
      </c>
      <c r="N65" s="50">
        <f>0.5*1.225*J65^2*L65*Polars!$G$13</f>
        <v>590.0304063097047</v>
      </c>
      <c r="O65" s="50">
        <f t="shared" si="4"/>
        <v>37761.946003821104</v>
      </c>
      <c r="P65" s="53">
        <f>1.6/(1+(1+4*L65*Polars!$G$13/(Polars!$G$17^2*PI()))^0.5)</f>
        <v>0.7802858476038469</v>
      </c>
      <c r="Q65" s="50">
        <f t="shared" si="5"/>
        <v>48395.01590318852</v>
      </c>
      <c r="R65" s="50">
        <f>Polars!$G$19*1.225^2*Polars!$G$13^2*'Plots vs Speed'!J65^4*PI()*Polars!$G$24*Polars!$G$28/(4*9.81^2)</f>
        <v>10976549.588447683</v>
      </c>
      <c r="S65" s="50">
        <f>0.5*1.2225*J65^2*L65*Polars!$G$13</f>
        <v>588.8262626233583</v>
      </c>
      <c r="T65" s="52">
        <f t="shared" si="6"/>
        <v>37.68488080789493</v>
      </c>
      <c r="U65" s="101">
        <f>1.6/(1+(1+4*L65*Polars!$G$13/(Polars!$G$17^2*PI()))^0.5)</f>
        <v>0.7802858476038469</v>
      </c>
      <c r="V65" s="52">
        <f t="shared" si="7"/>
        <v>48.29625056461057</v>
      </c>
      <c r="W65" s="105"/>
    </row>
    <row r="66" spans="10:23" ht="9" customHeight="1">
      <c r="J66" s="101">
        <v>66</v>
      </c>
      <c r="K66" s="54">
        <f>2*Polars!$G$18*9.81/(1.225*J66^2*Polars!$G$13)</f>
        <v>0.16712921081279994</v>
      </c>
      <c r="L66" s="102">
        <f>Polars!$G$19+'Plots vs Speed'!K66^2/(PI()*Polars!$G$24*Polars!$G$28)</f>
        <v>0.012486749210411043</v>
      </c>
      <c r="M66" s="52">
        <f t="shared" si="3"/>
        <v>13.384525307311616</v>
      </c>
      <c r="N66" s="50">
        <f>0.5*1.225*J66^2*L66*Polars!$G$13</f>
        <v>622.9955720166553</v>
      </c>
      <c r="O66" s="50">
        <f t="shared" si="4"/>
        <v>41117.70775309925</v>
      </c>
      <c r="P66" s="53">
        <f>1.6/(1+(1+4*L66*Polars!$G$13/(Polars!$G$17^2*PI()))^0.5)</f>
        <v>0.7804201121718559</v>
      </c>
      <c r="Q66" s="50">
        <f t="shared" si="5"/>
        <v>52686.63263773594</v>
      </c>
      <c r="R66" s="50">
        <f>Polars!$G$19*1.225^2*Polars!$G$13^2*'Plots vs Speed'!J66^4*PI()*Polars!$G$24*Polars!$G$28/(4*9.81^2)</f>
        <v>12414284.38614031</v>
      </c>
      <c r="S66" s="50">
        <f>0.5*1.2225*J66^2*L66*Polars!$G$13</f>
        <v>621.7241524819274</v>
      </c>
      <c r="T66" s="52">
        <f t="shared" si="6"/>
        <v>41.0337940638072</v>
      </c>
      <c r="U66" s="101">
        <f>1.6/(1+(1+4*L66*Polars!$G$13/(Polars!$G$17^2*PI()))^0.5)</f>
        <v>0.7804201121718559</v>
      </c>
      <c r="V66" s="52">
        <f t="shared" si="7"/>
        <v>52.57910889765892</v>
      </c>
      <c r="W66" s="105">
        <f>Polars!$G$23</f>
        <v>58</v>
      </c>
    </row>
    <row r="67" spans="10:23" ht="9" customHeight="1">
      <c r="J67" s="101">
        <v>68</v>
      </c>
      <c r="K67" s="54">
        <f>2*Polars!$G$18*9.81/(1.225*J67^2*Polars!$G$13)</f>
        <v>0.15744265620686776</v>
      </c>
      <c r="L67" s="102">
        <f>Polars!$G$19+'Plots vs Speed'!K67^2/(PI()*Polars!$G$24*Polars!$G$28)</f>
        <v>0.012409450250805093</v>
      </c>
      <c r="M67" s="52">
        <f t="shared" si="3"/>
        <v>12.68731918214131</v>
      </c>
      <c r="N67" s="50">
        <f>0.5*1.225*J67^2*L67*Polars!$G$13</f>
        <v>657.2310415061745</v>
      </c>
      <c r="O67" s="50">
        <f t="shared" si="4"/>
        <v>44691.71082241987</v>
      </c>
      <c r="P67" s="53">
        <f>1.6/(1+(1+4*L67*Polars!$G$13/(Polars!$G$17^2*PI()))^0.5)</f>
        <v>0.7805355634032757</v>
      </c>
      <c r="Q67" s="50">
        <f t="shared" si="5"/>
        <v>57257.75085449785</v>
      </c>
      <c r="R67" s="50">
        <f>Polars!$G$19*1.225^2*Polars!$G$13^2*'Plots vs Speed'!J67^4*PI()*Polars!$G$24*Polars!$G$28/(4*9.81^2)</f>
        <v>13988836.642101118</v>
      </c>
      <c r="S67" s="50">
        <f>0.5*1.2225*J67^2*L67*Polars!$G$13</f>
        <v>655.8897536663658</v>
      </c>
      <c r="T67" s="52">
        <f t="shared" si="6"/>
        <v>44.60050324931287</v>
      </c>
      <c r="U67" s="101">
        <f>1.6/(1+(1+4*L67*Polars!$G$13/(Polars!$G$17^2*PI()))^0.5)</f>
        <v>0.7805355634032757</v>
      </c>
      <c r="V67" s="52">
        <f t="shared" si="7"/>
        <v>57.14089830173355</v>
      </c>
      <c r="W67" s="105">
        <f>Polars!$G$23</f>
        <v>58</v>
      </c>
    </row>
    <row r="68" spans="10:23" ht="9" customHeight="1">
      <c r="J68" s="101">
        <v>70</v>
      </c>
      <c r="K68" s="54">
        <f>2*Polars!$G$18*9.81/(1.225*J68^2*Polars!$G$13)</f>
        <v>0.1485744576123585</v>
      </c>
      <c r="L68" s="102">
        <f>Polars!$G$19+'Plots vs Speed'!K68^2/(PI()*Polars!$G$24*Polars!$G$28)</f>
        <v>0.012342727403821658</v>
      </c>
      <c r="M68" s="52">
        <f t="shared" si="3"/>
        <v>12.037408973834715</v>
      </c>
      <c r="N68" s="50">
        <f>0.5*1.225*J68^2*L68*Polars!$G$13</f>
        <v>692.7155186074593</v>
      </c>
      <c r="O68" s="50">
        <f t="shared" si="4"/>
        <v>48490.086302522155</v>
      </c>
      <c r="P68" s="53">
        <f>1.6/(1+(1+4*L68*Polars!$G$13/(Polars!$G$17^2*PI()))^0.5)</f>
        <v>0.7806352727984291</v>
      </c>
      <c r="Q68" s="50">
        <f t="shared" si="5"/>
        <v>62116.186639497355</v>
      </c>
      <c r="R68" s="50">
        <f>Polars!$G$19*1.225^2*Polars!$G$13^2*'Plots vs Speed'!J68^4*PI()*Polars!$G$24*Polars!$G$28/(4*9.81^2)</f>
        <v>15708622.67128401</v>
      </c>
      <c r="S68" s="50">
        <f>0.5*1.2225*J68^2*L68*Polars!$G$13</f>
        <v>691.301813467444</v>
      </c>
      <c r="T68" s="52">
        <f t="shared" si="6"/>
        <v>48.39112694272109</v>
      </c>
      <c r="U68" s="101">
        <f>1.6/(1+(1+4*L68*Polars!$G$13/(Polars!$G$17^2*PI()))^0.5)</f>
        <v>0.7806352727984291</v>
      </c>
      <c r="V68" s="52">
        <f t="shared" si="7"/>
        <v>61.98941891166164</v>
      </c>
      <c r="W68" s="105">
        <f>Polars!$G$23</f>
        <v>58</v>
      </c>
    </row>
    <row r="69" spans="10:23" ht="9" customHeight="1">
      <c r="J69" s="101">
        <v>72</v>
      </c>
      <c r="K69" s="54">
        <f>2*Polars!$G$18*9.81/(1.225*J69^2*Polars!$G$13)</f>
        <v>0.14043496186353327</v>
      </c>
      <c r="L69" s="102">
        <f>Polars!$G$19+'Plots vs Speed'!K69^2/(PI()*Polars!$G$24*Polars!$G$28)</f>
        <v>0.012284890778820797</v>
      </c>
      <c r="M69" s="52">
        <f t="shared" si="3"/>
        <v>11.431518960318616</v>
      </c>
      <c r="N69" s="50">
        <f>0.5*1.225*J69^2*L69*Polars!$G$13</f>
        <v>729.4306232570506</v>
      </c>
      <c r="O69" s="50">
        <f t="shared" si="4"/>
        <v>52519.00487450764</v>
      </c>
      <c r="P69" s="53">
        <f>1.6/(1+(1+4*L69*Polars!$G$13/(Polars!$G$17^2*PI()))^0.5)</f>
        <v>0.7807217435364938</v>
      </c>
      <c r="Q69" s="50">
        <f t="shared" si="5"/>
        <v>67269.81195196175</v>
      </c>
      <c r="R69" s="50">
        <f>Polars!$G$19*1.225^2*Polars!$G$13^2*'Plots vs Speed'!J69^4*PI()*Polars!$G$24*Polars!$G$28/(4*9.81^2)</f>
        <v>17582310.021925107</v>
      </c>
      <c r="S69" s="50">
        <f>0.5*1.2225*J69^2*L69*Polars!$G$13</f>
        <v>727.9419893320362</v>
      </c>
      <c r="T69" s="52">
        <f t="shared" si="6"/>
        <v>52.41182323190661</v>
      </c>
      <c r="U69" s="101">
        <f>1.6/(1+(1+4*L69*Polars!$G$13/(Polars!$G$17^2*PI()))^0.5)</f>
        <v>0.7807217435364938</v>
      </c>
      <c r="V69" s="52">
        <f t="shared" si="7"/>
        <v>67.13252662144754</v>
      </c>
      <c r="W69" s="105">
        <f>Polars!$G$23</f>
        <v>58</v>
      </c>
    </row>
    <row r="70" spans="10:23" ht="9" customHeight="1">
      <c r="J70" s="101">
        <v>74</v>
      </c>
      <c r="K70" s="54">
        <f>2*Polars!$G$18*9.81/(1.225*J70^2*Polars!$G$13)</f>
        <v>0.13294646499279703</v>
      </c>
      <c r="L70" s="102">
        <f>Polars!$G$19+'Plots vs Speed'!K70^2/(PI()*Polars!$G$24*Polars!$G$28)</f>
        <v>0.012234557282090426</v>
      </c>
      <c r="M70" s="52">
        <f t="shared" si="3"/>
        <v>10.866471252491571</v>
      </c>
      <c r="N70" s="50">
        <f>0.5*1.225*J70^2*L70*Polars!$G$13</f>
        <v>767.3604251323139</v>
      </c>
      <c r="O70" s="50">
        <f t="shared" si="4"/>
        <v>56784.67145979123</v>
      </c>
      <c r="P70" s="53">
        <f>1.6/(1+(1+4*L70*Polars!$G$13/(Polars!$G$17^2*PI()))^0.5)</f>
        <v>0.780797027273593</v>
      </c>
      <c r="Q70" s="50">
        <f t="shared" si="5"/>
        <v>72726.54669046756</v>
      </c>
      <c r="R70" s="50">
        <f>Polars!$G$19*1.225^2*Polars!$G$13^2*'Plots vs Speed'!J70^4*PI()*Polars!$G$24*Polars!$G$28/(4*9.81^2)</f>
        <v>19618817.47554273</v>
      </c>
      <c r="S70" s="50">
        <f>0.5*1.2225*J70^2*L70*Polars!$G$13</f>
        <v>765.7943834483704</v>
      </c>
      <c r="T70" s="52">
        <f t="shared" si="6"/>
        <v>56.668784375179406</v>
      </c>
      <c r="U70" s="101">
        <f>1.6/(1+(1+4*L70*Polars!$G$13/(Polars!$G$17^2*PI()))^0.5)</f>
        <v>0.780797027273593</v>
      </c>
      <c r="V70" s="52">
        <f t="shared" si="7"/>
        <v>72.57812516660945</v>
      </c>
      <c r="W70" s="105"/>
    </row>
    <row r="71" spans="10:23" ht="9" customHeight="1">
      <c r="J71" s="101">
        <v>76</v>
      </c>
      <c r="K71" s="54">
        <f>2*Polars!$G$18*9.81/(1.225*J71^2*Polars!$G$13)</f>
        <v>0.12604135081380827</v>
      </c>
      <c r="L71" s="102">
        <f>Polars!$G$19+'Plots vs Speed'!K71^2/(PI()*Polars!$G$24*Polars!$G$28)</f>
        <v>0.012190588580485816</v>
      </c>
      <c r="M71" s="52">
        <f t="shared" si="3"/>
        <v>10.339234236447778</v>
      </c>
      <c r="N71" s="50">
        <f>0.5*1.225*J71^2*L71*Polars!$G$13</f>
        <v>806.4910620367989</v>
      </c>
      <c r="O71" s="50">
        <f t="shared" si="4"/>
        <v>61293.32071479672</v>
      </c>
      <c r="P71" s="53">
        <f>1.6/(1+(1+4*L71*Polars!$G$13/(Polars!$G$17^2*PI()))^0.5)</f>
        <v>0.7808628146856906</v>
      </c>
      <c r="Q71" s="50">
        <f t="shared" si="5"/>
        <v>78494.3520962363</v>
      </c>
      <c r="R71" s="50">
        <f>Polars!$G$19*1.225^2*Polars!$G$13^2*'Plots vs Speed'!J71^4*PI()*Polars!$G$24*Polars!$G$28/(4*9.81^2)</f>
        <v>21827315.046937417</v>
      </c>
      <c r="S71" s="50">
        <f>0.5*1.2225*J71^2*L71*Polars!$G$13</f>
        <v>804.8451619101932</v>
      </c>
      <c r="T71" s="52">
        <f t="shared" si="6"/>
        <v>61.168232305174676</v>
      </c>
      <c r="U71" s="101">
        <f>1.6/(1+(1+4*L71*Polars!$G$13/(Polars!$G$17^2*PI()))^0.5)</f>
        <v>0.7808628146856906</v>
      </c>
      <c r="V71" s="52">
        <f t="shared" si="7"/>
        <v>78.33415954093785</v>
      </c>
      <c r="W71" s="105"/>
    </row>
    <row r="72" spans="10:23" ht="9" customHeight="1">
      <c r="J72" s="101">
        <v>78</v>
      </c>
      <c r="K72" s="54">
        <f>2*Polars!$G$18*9.81/(1.225*J72^2*Polars!$G$13)</f>
        <v>0.11966055922099877</v>
      </c>
      <c r="L72" s="102">
        <f>Polars!$G$19+'Plots vs Speed'!K72^2/(PI()*Polars!$G$24*Polars!$G$28)</f>
        <v>0.012152042827268936</v>
      </c>
      <c r="M72" s="52">
        <f t="shared" si="3"/>
        <v>9.84695009076852</v>
      </c>
      <c r="N72" s="50">
        <f>0.5*1.225*J72^2*L72*Polars!$G$13</f>
        <v>846.8104258817473</v>
      </c>
      <c r="O72" s="50">
        <f t="shared" si="4"/>
        <v>66051.21321877629</v>
      </c>
      <c r="P72" s="53">
        <f>1.6/(1+(1+4*L72*Polars!$G$13/(Polars!$G$17^2*PI()))^0.5)</f>
        <v>0.7809205061345051</v>
      </c>
      <c r="Q72" s="50">
        <f t="shared" si="5"/>
        <v>84581.22523344224</v>
      </c>
      <c r="R72" s="50">
        <f>Polars!$G$19*1.225^2*Polars!$G$13^2*'Plots vs Speed'!J72^4*PI()*Polars!$G$24*Polars!$G$28/(4*9.81^2)</f>
        <v>24217223.984191887</v>
      </c>
      <c r="S72" s="50">
        <f>0.5*1.2225*J72^2*L72*Polars!$G$13</f>
        <v>845.0822413391314</v>
      </c>
      <c r="T72" s="52">
        <f t="shared" si="6"/>
        <v>65.91641482445225</v>
      </c>
      <c r="U72" s="101">
        <f>1.6/(1+(1+4*L72*Polars!$G$13/(Polars!$G$17^2*PI()))^0.5)</f>
        <v>0.7809205061345051</v>
      </c>
      <c r="V72" s="52">
        <f t="shared" si="7"/>
        <v>84.40861048806785</v>
      </c>
      <c r="W72" s="105"/>
    </row>
    <row r="73" spans="10:23" ht="9" customHeight="1">
      <c r="J73" s="101">
        <v>80</v>
      </c>
      <c r="K73" s="54">
        <f>2*Polars!$G$18*9.81/(1.225*J73^2*Polars!$G$13)</f>
        <v>0.11375231910946197</v>
      </c>
      <c r="L73" s="102">
        <f>Polars!$G$19+'Plots vs Speed'!K73^2/(PI()*Polars!$G$24*Polars!$G$28)</f>
        <v>0.012118136839984325</v>
      </c>
      <c r="M73" s="52">
        <f t="shared" si="3"/>
        <v>9.386947895664225</v>
      </c>
      <c r="N73" s="50">
        <f>0.5*1.225*J73^2*L73*Polars!$G$13</f>
        <v>888.307902918211</v>
      </c>
      <c r="O73" s="50">
        <f t="shared" si="4"/>
        <v>71064.63223345688</v>
      </c>
      <c r="P73" s="53">
        <f>1.6/(1+(1+4*L73*Polars!$G$13/(Polars!$G$17^2*PI()))^0.5)</f>
        <v>0.7809712671763424</v>
      </c>
      <c r="Q73" s="50">
        <f t="shared" si="5"/>
        <v>90995.1943435719</v>
      </c>
      <c r="R73" s="50">
        <f>Polars!$G$19*1.225^2*Polars!$G$13^2*'Plots vs Speed'!J73^4*PI()*Polars!$G$24*Polars!$G$28/(4*9.81^2)</f>
        <v>26798216.768671095</v>
      </c>
      <c r="S73" s="50">
        <f>0.5*1.2225*J73^2*L73*Polars!$G$13</f>
        <v>886.4950296469491</v>
      </c>
      <c r="T73" s="52">
        <f t="shared" si="6"/>
        <v>70.91960237175593</v>
      </c>
      <c r="U73" s="101">
        <f>1.6/(1+(1+4*L73*Polars!$G$13/(Polars!$G$17^2*PI()))^0.5)</f>
        <v>0.7809712671763424</v>
      </c>
      <c r="V73" s="52">
        <f t="shared" si="7"/>
        <v>90.80948986531968</v>
      </c>
      <c r="W73" s="105"/>
    </row>
    <row r="74" spans="19:24" ht="12.75">
      <c r="S74" s="106"/>
      <c r="T74" s="106"/>
      <c r="V74" s="106"/>
      <c r="W74" s="103"/>
      <c r="X74" s="103"/>
    </row>
    <row r="75" spans="20:24" ht="12.75">
      <c r="T75" s="107"/>
      <c r="V75" s="107"/>
      <c r="W75" s="103"/>
      <c r="X75" s="103"/>
    </row>
    <row r="76" ht="12.75">
      <c r="T76" s="107"/>
    </row>
    <row r="77" ht="12.75">
      <c r="T77" s="107"/>
    </row>
    <row r="78" ht="12.75">
      <c r="T78" s="107"/>
    </row>
  </sheetData>
  <sheetProtection/>
  <mergeCells count="2">
    <mergeCell ref="A40:I40"/>
    <mergeCell ref="A1:F1"/>
  </mergeCells>
  <conditionalFormatting sqref="S43:S73">
    <cfRule type="cellIs" priority="1" dxfId="0" operator="equal" stopIfTrue="1">
      <formula>MIN($S$43:$S$73)</formula>
    </cfRule>
  </conditionalFormatting>
  <conditionalFormatting sqref="T43:T73">
    <cfRule type="cellIs" priority="2" dxfId="0" operator="equal" stopIfTrue="1">
      <formula>MIN($T$43:$T$73)</formula>
    </cfRule>
  </conditionalFormatting>
  <conditionalFormatting sqref="V43:V73">
    <cfRule type="cellIs" priority="3" dxfId="0" operator="equal" stopIfTrue="1">
      <formula>MIN($V$43:$V$73)</formula>
    </cfRule>
  </conditionalFormatting>
  <conditionalFormatting sqref="S4:S34">
    <cfRule type="cellIs" priority="4" dxfId="0" operator="equal" stopIfTrue="1">
      <formula>MAX($S$4:$S$34)</formula>
    </cfRule>
  </conditionalFormatting>
  <conditionalFormatting sqref="T4:T34">
    <cfRule type="cellIs" priority="5" dxfId="0" operator="equal" stopIfTrue="1">
      <formula>MAX($T$4:$T$34)</formula>
    </cfRule>
  </conditionalFormatting>
  <conditionalFormatting sqref="U4:U34">
    <cfRule type="cellIs" priority="6" dxfId="0" operator="equal" stopIfTrue="1">
      <formula>MAX($U$4:$U$34)</formula>
    </cfRule>
  </conditionalFormatting>
  <conditionalFormatting sqref="V4:V34">
    <cfRule type="cellIs" priority="7" dxfId="0" operator="equal" stopIfTrue="1">
      <formula>MAX($V$4:$V$34)</formula>
    </cfRule>
  </conditionalFormatting>
  <conditionalFormatting sqref="W4:W34">
    <cfRule type="cellIs" priority="8" dxfId="0" operator="equal" stopIfTrue="1">
      <formula>MAX($W$4:$W$34)</formula>
    </cfRule>
  </conditionalFormatting>
  <printOptions/>
  <pageMargins left="0.787401575" right="0.787401575" top="0.984251969" bottom="0.984251969" header="0.4921259845" footer="0.4921259845"/>
  <pageSetup fitToHeight="1" fitToWidth="1" orientation="portrait" paperSize="9" scale="61" r:id="rId6"/>
  <drawing r:id="rId5"/>
  <legacyDrawing r:id="rId4"/>
  <oleObjects>
    <oleObject progId="Equation.DSMT4" shapeId="68332" r:id="rId1"/>
    <oleObject progId="Equation.DSMT4" shapeId="68333" r:id="rId2"/>
    <oleObject progId="Equation.DSMT4" shapeId="68334" r:id="rId3"/>
  </oleObjects>
</worksheet>
</file>

<file path=xl/worksheets/sheet4.xml><?xml version="1.0" encoding="utf-8"?>
<worksheet xmlns="http://schemas.openxmlformats.org/spreadsheetml/2006/main" xmlns:r="http://schemas.openxmlformats.org/officeDocument/2006/relationships">
  <sheetPr>
    <pageSetUpPr fitToPage="1"/>
  </sheetPr>
  <dimension ref="A1:W131"/>
  <sheetViews>
    <sheetView zoomScalePageLayoutView="0" workbookViewId="0" topLeftCell="A1">
      <selection activeCell="A3" sqref="A3"/>
    </sheetView>
  </sheetViews>
  <sheetFormatPr defaultColWidth="11.421875" defaultRowHeight="12.75"/>
  <cols>
    <col min="2" max="2" width="11.57421875" style="0" customWidth="1"/>
    <col min="3" max="3" width="13.00390625" style="0" customWidth="1"/>
    <col min="4" max="4" width="13.140625" style="0" customWidth="1"/>
    <col min="7" max="7" width="11.8515625" style="0" bestFit="1" customWidth="1"/>
    <col min="8" max="8" width="12.00390625" style="0" bestFit="1" customWidth="1"/>
    <col min="9" max="9" width="6.421875" style="0" bestFit="1" customWidth="1"/>
    <col min="10" max="10" width="8.28125" style="0" bestFit="1" customWidth="1"/>
    <col min="11" max="11" width="6.00390625" style="0" customWidth="1"/>
    <col min="12" max="12" width="6.7109375" style="0" customWidth="1"/>
    <col min="13" max="13" width="6.57421875" style="0" bestFit="1" customWidth="1"/>
    <col min="14" max="14" width="5.421875" style="0" customWidth="1"/>
    <col min="15" max="15" width="10.421875" style="0" bestFit="1" customWidth="1"/>
    <col min="16" max="16" width="7.57421875" style="0" customWidth="1"/>
    <col min="17" max="17" width="7.28125" style="0" bestFit="1" customWidth="1"/>
    <col min="18" max="18" width="4.8515625" style="0" bestFit="1" customWidth="1"/>
    <col min="19" max="19" width="9.7109375" style="0" bestFit="1" customWidth="1"/>
    <col min="20" max="20" width="8.140625" style="0" bestFit="1" customWidth="1"/>
    <col min="21" max="21" width="7.8515625" style="0" customWidth="1"/>
  </cols>
  <sheetData>
    <row r="1" spans="1:11" ht="18">
      <c r="A1" s="409" t="s">
        <v>282</v>
      </c>
      <c r="B1" s="409"/>
      <c r="C1" s="409"/>
      <c r="D1" s="409"/>
      <c r="E1" s="409"/>
      <c r="F1" s="409"/>
      <c r="G1" s="409"/>
      <c r="H1" s="409"/>
      <c r="I1" s="409"/>
      <c r="J1" s="409"/>
      <c r="K1" s="409"/>
    </row>
    <row r="2" spans="1:13" ht="12.75">
      <c r="A2" s="427" t="s">
        <v>94</v>
      </c>
      <c r="B2" s="427"/>
      <c r="C2" s="427"/>
      <c r="D2" s="427"/>
      <c r="E2" s="427"/>
      <c r="F2" s="427"/>
      <c r="G2" s="427"/>
      <c r="H2" s="427"/>
      <c r="I2" s="427"/>
      <c r="J2" s="427"/>
      <c r="K2" s="427"/>
      <c r="L2" s="427"/>
      <c r="M2" s="427"/>
    </row>
    <row r="4" spans="1:8" ht="12.75">
      <c r="A4" s="361" t="s">
        <v>298</v>
      </c>
      <c r="B4" s="361"/>
      <c r="C4" s="361"/>
      <c r="D4" s="361"/>
      <c r="E4" s="4" t="s">
        <v>0</v>
      </c>
      <c r="F4" s="4" t="s">
        <v>1</v>
      </c>
      <c r="G4" s="4" t="s">
        <v>2</v>
      </c>
      <c r="H4" s="21" t="s">
        <v>29</v>
      </c>
    </row>
    <row r="5" spans="1:12" ht="12.75">
      <c r="A5" s="430" t="s">
        <v>36</v>
      </c>
      <c r="B5" s="430"/>
      <c r="C5" s="430"/>
      <c r="D5" s="430"/>
      <c r="E5" s="5" t="s">
        <v>292</v>
      </c>
      <c r="F5" s="5" t="s">
        <v>99</v>
      </c>
      <c r="G5" s="108">
        <f>Polars!G46</f>
        <v>24.631602207019032</v>
      </c>
      <c r="H5" s="108">
        <f>Polars!H46</f>
        <v>47.880004290101795</v>
      </c>
      <c r="J5" s="110"/>
      <c r="K5" s="110"/>
      <c r="L5" s="110"/>
    </row>
    <row r="6" spans="1:7" ht="12.75">
      <c r="A6" s="431" t="s">
        <v>95</v>
      </c>
      <c r="B6" s="432"/>
      <c r="C6" s="432"/>
      <c r="D6" s="433"/>
      <c r="E6" s="67" t="s">
        <v>59</v>
      </c>
      <c r="F6" s="67"/>
      <c r="G6" s="111">
        <f>Ranges!G69</f>
        <v>0.7344502975092465</v>
      </c>
    </row>
    <row r="7" spans="1:7" ht="12.75">
      <c r="A7" s="434" t="s">
        <v>96</v>
      </c>
      <c r="B7" s="435"/>
      <c r="C7" s="435"/>
      <c r="D7" s="436"/>
      <c r="E7" s="69" t="s">
        <v>306</v>
      </c>
      <c r="F7" s="69" t="s">
        <v>124</v>
      </c>
      <c r="G7" s="92">
        <f>Polars!$G$23</f>
        <v>58</v>
      </c>
    </row>
    <row r="8" spans="1:8" ht="12.75">
      <c r="A8" s="437" t="s">
        <v>97</v>
      </c>
      <c r="B8" s="438"/>
      <c r="C8" s="438"/>
      <c r="D8" s="439"/>
      <c r="E8" s="73" t="s">
        <v>93</v>
      </c>
      <c r="F8" s="73" t="s">
        <v>225</v>
      </c>
      <c r="G8" s="93">
        <f>Polars!G47/'Climb + Ceiling'!G5</f>
        <v>328.0008903992401</v>
      </c>
      <c r="H8" s="21" t="s">
        <v>98</v>
      </c>
    </row>
    <row r="9" spans="1:9" ht="12.75">
      <c r="A9" s="428" t="s">
        <v>117</v>
      </c>
      <c r="B9" s="429"/>
      <c r="C9" s="429"/>
      <c r="D9" s="429"/>
      <c r="E9" s="425" t="s">
        <v>307</v>
      </c>
      <c r="F9" s="425" t="s">
        <v>99</v>
      </c>
      <c r="G9" s="426">
        <f>G6*G7*1000*1/(Polars!$G$18*9.81)-G8/(Polars!$G$18*9.81)*G5</f>
        <v>4.13970495888639</v>
      </c>
      <c r="H9" s="410">
        <f>G9/0.3048*60</f>
        <v>814.9025509618878</v>
      </c>
      <c r="I9" s="103"/>
    </row>
    <row r="10" spans="1:13" ht="12.75">
      <c r="A10" s="429"/>
      <c r="B10" s="429"/>
      <c r="C10" s="429"/>
      <c r="D10" s="429"/>
      <c r="E10" s="425"/>
      <c r="F10" s="425"/>
      <c r="G10" s="426"/>
      <c r="H10" s="410"/>
      <c r="I10" s="112"/>
      <c r="J10" s="112"/>
      <c r="K10" s="112"/>
      <c r="L10" s="112"/>
      <c r="M10" s="112"/>
    </row>
    <row r="11" spans="1:10" ht="12.75">
      <c r="A11" s="113"/>
      <c r="B11" s="113"/>
      <c r="C11" s="113"/>
      <c r="D11" s="113"/>
      <c r="E11" s="72"/>
      <c r="F11" s="72"/>
      <c r="G11" s="84"/>
      <c r="H11" s="29"/>
      <c r="I11" s="103"/>
      <c r="J11" s="103"/>
    </row>
    <row r="12" spans="1:19" ht="16.5" customHeight="1">
      <c r="A12" s="3"/>
      <c r="B12" s="3"/>
      <c r="C12" s="3"/>
      <c r="D12" s="3"/>
      <c r="E12" s="3"/>
      <c r="F12" s="3"/>
      <c r="G12" s="4" t="s">
        <v>99</v>
      </c>
      <c r="H12" s="114" t="s">
        <v>100</v>
      </c>
      <c r="I12" s="115" t="s">
        <v>101</v>
      </c>
      <c r="J12" s="116">
        <f>G13</f>
        <v>2.6</v>
      </c>
      <c r="K12" s="116" t="s">
        <v>99</v>
      </c>
      <c r="L12" s="117" t="s">
        <v>102</v>
      </c>
      <c r="M12" s="118">
        <f>H13*3.6</f>
        <v>109.8</v>
      </c>
      <c r="N12" s="119" t="s">
        <v>103</v>
      </c>
      <c r="O12" s="120"/>
      <c r="P12" s="120"/>
      <c r="Q12" s="120"/>
      <c r="R12" s="120"/>
      <c r="S12" s="120"/>
    </row>
    <row r="13" spans="1:19" ht="16.5">
      <c r="A13" s="440" t="s">
        <v>104</v>
      </c>
      <c r="B13" s="440"/>
      <c r="C13" s="440"/>
      <c r="D13" s="440"/>
      <c r="E13" s="382" t="s">
        <v>105</v>
      </c>
      <c r="F13" s="384"/>
      <c r="G13" s="24">
        <v>2.6</v>
      </c>
      <c r="H13" s="24">
        <v>30.5</v>
      </c>
      <c r="I13" s="115" t="s">
        <v>101</v>
      </c>
      <c r="J13" s="121">
        <f>G13/0.3048*60</f>
        <v>511.8110236220473</v>
      </c>
      <c r="K13" s="116" t="s">
        <v>98</v>
      </c>
      <c r="L13" s="117" t="s">
        <v>102</v>
      </c>
      <c r="M13" s="118">
        <f>H13*3.6/1.852</f>
        <v>59.28725701943844</v>
      </c>
      <c r="N13" s="119" t="s">
        <v>29</v>
      </c>
      <c r="O13" s="120"/>
      <c r="P13" s="120"/>
      <c r="Q13" s="120"/>
      <c r="R13" s="120"/>
      <c r="S13" s="120"/>
    </row>
    <row r="14" spans="1:16" ht="12.75" customHeight="1">
      <c r="A14" s="3"/>
      <c r="B14" s="3"/>
      <c r="C14" s="3"/>
      <c r="D14" s="3"/>
      <c r="E14" s="3"/>
      <c r="F14" s="3"/>
      <c r="G14" s="3"/>
      <c r="H14" s="3"/>
      <c r="N14" s="122"/>
      <c r="O14" s="103"/>
      <c r="P14" s="103"/>
    </row>
    <row r="15" spans="11:21" ht="12.75" customHeight="1">
      <c r="K15" s="207"/>
      <c r="L15" s="207"/>
      <c r="M15" s="207"/>
      <c r="N15" s="207"/>
      <c r="O15" s="207"/>
      <c r="P15" s="207"/>
      <c r="Q15" s="207"/>
      <c r="R15" s="207"/>
      <c r="S15" s="207"/>
      <c r="T15" s="207"/>
      <c r="U15" s="207"/>
    </row>
    <row r="16" spans="1:21" ht="12.75" customHeight="1">
      <c r="A16" s="361" t="s">
        <v>298</v>
      </c>
      <c r="B16" s="361"/>
      <c r="C16" s="361"/>
      <c r="D16" s="361"/>
      <c r="E16" s="4" t="s">
        <v>0</v>
      </c>
      <c r="F16" s="4" t="s">
        <v>1</v>
      </c>
      <c r="G16" s="4" t="s">
        <v>2</v>
      </c>
      <c r="H16" s="21" t="s">
        <v>29</v>
      </c>
      <c r="K16" s="207"/>
      <c r="L16" s="207"/>
      <c r="M16" s="207"/>
      <c r="N16" s="207"/>
      <c r="O16" s="207"/>
      <c r="P16" s="207"/>
      <c r="Q16" s="207"/>
      <c r="R16" s="207"/>
      <c r="S16" s="207"/>
      <c r="T16" s="207"/>
      <c r="U16" s="207"/>
    </row>
    <row r="17" spans="1:21" ht="12.75" customHeight="1">
      <c r="A17" s="411" t="s">
        <v>118</v>
      </c>
      <c r="B17" s="412"/>
      <c r="C17" s="412"/>
      <c r="D17" s="413"/>
      <c r="E17" s="420" t="s">
        <v>106</v>
      </c>
      <c r="F17" s="423" t="s">
        <v>99</v>
      </c>
      <c r="G17" s="424">
        <v>68.3</v>
      </c>
      <c r="H17" s="450">
        <f>G17*3.6/1.852</f>
        <v>132.7645788336933</v>
      </c>
      <c r="K17" s="207"/>
      <c r="L17" s="207"/>
      <c r="M17" s="207"/>
      <c r="N17" s="207"/>
      <c r="O17" s="207"/>
      <c r="P17" s="207"/>
      <c r="Q17" s="207"/>
      <c r="R17" s="207"/>
      <c r="S17" s="207"/>
      <c r="T17" s="207"/>
      <c r="U17" s="207"/>
    </row>
    <row r="18" spans="1:21" ht="12.75" customHeight="1">
      <c r="A18" s="414"/>
      <c r="B18" s="415"/>
      <c r="C18" s="415"/>
      <c r="D18" s="416"/>
      <c r="E18" s="421"/>
      <c r="F18" s="423"/>
      <c r="G18" s="424"/>
      <c r="H18" s="450"/>
      <c r="K18" s="207"/>
      <c r="L18" s="207"/>
      <c r="M18" s="207"/>
      <c r="N18" s="207"/>
      <c r="O18" s="207"/>
      <c r="P18" s="207"/>
      <c r="Q18" s="207"/>
      <c r="R18" s="207"/>
      <c r="S18" s="207"/>
      <c r="T18" s="207"/>
      <c r="U18" s="207"/>
    </row>
    <row r="19" spans="1:21" ht="12.75" customHeight="1">
      <c r="A19" s="417"/>
      <c r="B19" s="418"/>
      <c r="C19" s="418"/>
      <c r="D19" s="419"/>
      <c r="E19" s="422"/>
      <c r="F19" s="423"/>
      <c r="G19" s="424"/>
      <c r="H19" s="450"/>
      <c r="K19" s="207"/>
      <c r="L19" s="207"/>
      <c r="M19" s="207"/>
      <c r="N19" s="207"/>
      <c r="O19" s="207"/>
      <c r="P19" s="207"/>
      <c r="Q19" s="207"/>
      <c r="R19" s="207"/>
      <c r="S19" s="207"/>
      <c r="T19" s="207"/>
      <c r="U19" s="207"/>
    </row>
    <row r="21" spans="9:17" ht="22.5">
      <c r="I21" s="123" t="s">
        <v>239</v>
      </c>
      <c r="J21" s="123" t="s">
        <v>240</v>
      </c>
      <c r="K21" s="123" t="s">
        <v>241</v>
      </c>
      <c r="L21" s="123" t="s">
        <v>242</v>
      </c>
      <c r="M21" s="123" t="s">
        <v>238</v>
      </c>
      <c r="N21" s="123" t="s">
        <v>243</v>
      </c>
      <c r="O21" s="123" t="s">
        <v>244</v>
      </c>
      <c r="P21" s="123" t="s">
        <v>245</v>
      </c>
      <c r="Q21" s="123" t="s">
        <v>246</v>
      </c>
    </row>
    <row r="22" spans="9:20" ht="9" customHeight="1">
      <c r="I22" s="38">
        <v>10</v>
      </c>
      <c r="J22" s="124">
        <f>2*Polars!$G$18*9.81/(1.225*Polars!$G$13*'Climb + Ceiling'!I22^2)</f>
        <v>7.280148423005564</v>
      </c>
      <c r="K22" s="124">
        <f>Polars!$G$19+'Climb + Ceiling'!J22^2/(PI()*Polars!$G$24*Polars!$G$28)</f>
        <v>1.314888496575799</v>
      </c>
      <c r="L22" s="125">
        <f>0.5*1.225*I22^3*K22*Polars!$G$13/1000</f>
        <v>15.060404117655056</v>
      </c>
      <c r="M22" s="40">
        <f>1.6/(1+(1+4*K22*Polars!$G$13/(PI()*Polars!$G$17^2))^0.5)</f>
        <v>0.3603691851784354</v>
      </c>
      <c r="N22" s="125">
        <f>Polars!$G$23*1000*'Climb + Ceiling'!M22/1000</f>
        <v>20.901412740349254</v>
      </c>
      <c r="O22" s="40">
        <f>N22*1000/(Polars!$G$18*9.81)</f>
        <v>2.5066154272769987</v>
      </c>
      <c r="P22" s="40">
        <f>L22*1000/(Polars!$G$18*9.81)</f>
        <v>1.8061286943281234</v>
      </c>
      <c r="Q22" s="40">
        <f>O22-P22</f>
        <v>0.7004867329488753</v>
      </c>
      <c r="S22" s="237">
        <f>G5</f>
        <v>24.631602207019032</v>
      </c>
      <c r="T22" s="304">
        <f>G9</f>
        <v>4.13970495888639</v>
      </c>
    </row>
    <row r="23" spans="9:17" ht="9" customHeight="1">
      <c r="I23" s="38">
        <v>12</v>
      </c>
      <c r="J23" s="124">
        <f>2*Polars!$G$18*9.81/(1.225*Polars!$G$13*'Climb + Ceiling'!I23^2)</f>
        <v>5.055658627087198</v>
      </c>
      <c r="K23" s="124">
        <f>Polars!$G$19+'Climb + Ceiling'!J23^2/(PI()*Polars!$G$24*Polars!$G$28)</f>
        <v>0.6402184493517551</v>
      </c>
      <c r="L23" s="125">
        <f>0.5*1.225*I23^3*K23*Polars!$G$13/1000</f>
        <v>12.671254767045884</v>
      </c>
      <c r="M23" s="40">
        <f>1.6/(1+(1+4*K23*Polars!$G$13/(PI()*Polars!$G$17^2))^0.5)</f>
        <v>0.45650413269508966</v>
      </c>
      <c r="N23" s="125">
        <f>Polars!$G$23*1000*'Climb + Ceiling'!M23/1000</f>
        <v>26.4772396963152</v>
      </c>
      <c r="O23" s="40">
        <f>N23*1000/(Polars!$G$18*9.81)</f>
        <v>3.175300077509768</v>
      </c>
      <c r="P23" s="40">
        <f>L23*1000/(Polars!$G$18*9.81)</f>
        <v>1.5196084148283127</v>
      </c>
      <c r="Q23" s="40">
        <f>O23-P23</f>
        <v>1.6556916626814553</v>
      </c>
    </row>
    <row r="24" spans="9:17" ht="9" customHeight="1">
      <c r="I24" s="38">
        <v>14</v>
      </c>
      <c r="J24" s="124">
        <f>2*Polars!$G$18*9.81/(1.225*Polars!$G$13*'Climb + Ceiling'!I24^2)</f>
        <v>3.7143614403089615</v>
      </c>
      <c r="K24" s="124">
        <f>Polars!$G$19+'Climb + Ceiling'!J24^2/(PI()*Polars!$G$24*Polars!$G$28)</f>
        <v>0.3510046273885358</v>
      </c>
      <c r="L24" s="125">
        <f>0.5*1.225*I24^3*K24*Polars!$G$13/1000</f>
        <v>11.031756024610758</v>
      </c>
      <c r="M24" s="40">
        <f>1.6/(1+(1+4*K24*Polars!$G$13/(PI()*Polars!$G$17^2))^0.5)</f>
        <v>0.5382200163597846</v>
      </c>
      <c r="N24" s="125">
        <f>Polars!$G$23*1000*'Climb + Ceiling'!M24/1000</f>
        <v>31.216760948867503</v>
      </c>
      <c r="O24" s="40">
        <f>N24*1000/(Polars!$G$18*9.81)</f>
        <v>3.7436902259240274</v>
      </c>
      <c r="P24" s="40">
        <f>L24*1000/(Polars!$G$18*9.81)</f>
        <v>1.322990468862596</v>
      </c>
      <c r="Q24" s="40">
        <f>O24-P24</f>
        <v>2.4206997570614313</v>
      </c>
    </row>
    <row r="25" spans="9:17" ht="9" customHeight="1">
      <c r="I25" s="38">
        <v>16</v>
      </c>
      <c r="J25" s="124">
        <f>2*Polars!$G$18*9.81/(1.225*Polars!$G$13*'Climb + Ceiling'!I25^2)</f>
        <v>2.843807977736549</v>
      </c>
      <c r="K25" s="124">
        <f>Polars!$G$19+'Climb + Ceiling'!J25^2/(PI()*Polars!$G$24*Polars!$G$28)</f>
        <v>0.2106355249902038</v>
      </c>
      <c r="L25" s="125">
        <f>0.5*1.225*I25^3*K25*Polars!$G$13/1000</f>
        <v>9.881872975284416</v>
      </c>
      <c r="M25" s="40">
        <f>1.6/(1+(1+4*K25*Polars!$G$13/(PI()*Polars!$G$17^2))^0.5)</f>
        <v>0.6028891694863121</v>
      </c>
      <c r="N25" s="125">
        <f>Polars!$G$23*1000*'Climb + Ceiling'!M25/1000</f>
        <v>34.9675718302061</v>
      </c>
      <c r="O25" s="40">
        <f>N25*1000/(Polars!$G$18*9.81)</f>
        <v>4.193508644265288</v>
      </c>
      <c r="P25" s="40">
        <f>L25*1000/(Polars!$G$18*9.81)</f>
        <v>1.1850900012333652</v>
      </c>
      <c r="Q25" s="40">
        <f>O25-P25</f>
        <v>3.0084186430319226</v>
      </c>
    </row>
    <row r="26" spans="9:17" ht="9" customHeight="1">
      <c r="I26" s="38">
        <v>18</v>
      </c>
      <c r="J26" s="124">
        <f>2*Polars!$G$18*9.81/(1.225*Polars!$G$13*'Climb + Ceiling'!I26^2)</f>
        <v>2.2469593898165323</v>
      </c>
      <c r="K26" s="124">
        <f>Polars!$G$19+'Climb + Ceiling'!J26^2/(PI()*Polars!$G$24*Polars!$G$28)</f>
        <v>0.13593203937812443</v>
      </c>
      <c r="L26" s="125">
        <f>0.5*1.225*I26^3*K26*Polars!$G$13/1000</f>
        <v>9.080025068030588</v>
      </c>
      <c r="M26" s="40">
        <f>1.6/(1+(1+4*K26*Polars!$G$13/(PI()*Polars!$G$17^2))^0.5)</f>
        <v>0.651469906410389</v>
      </c>
      <c r="N26" s="125">
        <f>Polars!$G$23*1000*'Climb + Ceiling'!M26/1000</f>
        <v>37.78525457180257</v>
      </c>
      <c r="O26" s="40">
        <f>N26*1000/(Polars!$G$18*9.81)</f>
        <v>4.531421067554424</v>
      </c>
      <c r="P26" s="40">
        <f>L26*1000/(Polars!$G$18*9.81)</f>
        <v>1.0889278728824836</v>
      </c>
      <c r="Q26" s="40">
        <f>O26-P26</f>
        <v>3.4424931946719406</v>
      </c>
    </row>
    <row r="27" spans="9:17" ht="9" customHeight="1">
      <c r="I27" s="38">
        <v>20</v>
      </c>
      <c r="J27" s="124">
        <f>2*Polars!$G$18*9.81/(1.225*Polars!$G$13*'Climb + Ceiling'!I27^2)</f>
        <v>1.820037105751391</v>
      </c>
      <c r="K27" s="124">
        <f>Polars!$G$19+'Climb + Ceiling'!J27^2/(PI()*Polars!$G$24*Polars!$G$28)</f>
        <v>0.09324303103598744</v>
      </c>
      <c r="L27" s="125">
        <f>0.5*1.225*I27^3*K27*Polars!$G$13/1000</f>
        <v>8.54385893382753</v>
      </c>
      <c r="M27" s="40">
        <f>1.6/(1+(1+4*K27*Polars!$G$13/(PI()*Polars!$G$17^2))^0.5)</f>
        <v>0.6867736447089976</v>
      </c>
      <c r="N27" s="125">
        <f>Polars!$G$23*1000*'Climb + Ceiling'!M27/1000</f>
        <v>39.832871393121856</v>
      </c>
      <c r="O27" s="40">
        <f>N27*1000/(Polars!$G$18*9.81)</f>
        <v>4.7769828378151775</v>
      </c>
      <c r="P27" s="40">
        <f>L27*1000/(Polars!$G$18*9.81)</f>
        <v>1.024627802821554</v>
      </c>
      <c r="Q27" s="40">
        <f aca="true" t="shared" si="0" ref="Q27:Q57">O27-P27</f>
        <v>3.7523550349936237</v>
      </c>
    </row>
    <row r="28" spans="9:17" ht="9" customHeight="1">
      <c r="I28" s="38">
        <v>22</v>
      </c>
      <c r="J28" s="124">
        <f>2*Polars!$G$18*9.81/(1.225*Polars!$G$13*'Climb + Ceiling'!I28^2)</f>
        <v>1.5041628973151995</v>
      </c>
      <c r="K28" s="124">
        <f>Polars!$G$19+'Climb + Ceiling'!J28^2/(PI()*Polars!$G$24*Polars!$G$28)</f>
        <v>0.06742668604329449</v>
      </c>
      <c r="L28" s="125">
        <f>0.5*1.225*I28^3*K28*Polars!$G$13/1000</f>
        <v>8.223326939297756</v>
      </c>
      <c r="M28" s="40">
        <f>1.6/(1+(1+4*K28*Polars!$G$13/(PI()*Polars!$G$17^2))^0.5)</f>
        <v>0.711997882341493</v>
      </c>
      <c r="N28" s="125">
        <f>Polars!$G$23*1000*'Climb + Ceiling'!M28/1000</f>
        <v>41.295877175806595</v>
      </c>
      <c r="O28" s="40">
        <f>N28*1000/(Polars!$G$18*9.81)</f>
        <v>4.95243475155083</v>
      </c>
      <c r="P28" s="40">
        <f>L28*1000/(Polars!$G$18*9.81)</f>
        <v>0.9861877962820359</v>
      </c>
      <c r="Q28" s="40">
        <f t="shared" si="0"/>
        <v>3.966246955268794</v>
      </c>
    </row>
    <row r="29" spans="9:17" ht="9" customHeight="1">
      <c r="I29" s="38">
        <v>24</v>
      </c>
      <c r="J29" s="124">
        <f>2*Polars!$G$18*9.81/(1.225*Polars!$G$13*'Climb + Ceiling'!I29^2)</f>
        <v>1.2639146567717996</v>
      </c>
      <c r="K29" s="124">
        <f>Polars!$G$19+'Climb + Ceiling'!J29^2/(PI()*Polars!$G$24*Polars!$G$28)</f>
        <v>0.05107615308448469</v>
      </c>
      <c r="L29" s="125">
        <f>0.5*1.225*I29^3*K29*Polars!$G$13/1000</f>
        <v>8.087226463522944</v>
      </c>
      <c r="M29" s="40">
        <f>1.6/(1+(1+4*K29*Polars!$G$13/(PI()*Polars!$G$17^2))^0.5)</f>
        <v>0.7299364435482085</v>
      </c>
      <c r="N29" s="125">
        <f>Polars!$G$23*1000*'Climb + Ceiling'!M29/1000</f>
        <v>42.33631372579609</v>
      </c>
      <c r="O29" s="40">
        <f>N29*1000/(Polars!$G$18*9.81)</f>
        <v>5.07720977703377</v>
      </c>
      <c r="P29" s="40">
        <f>L29*1000/(Polars!$G$18*9.81)</f>
        <v>0.9698658587903033</v>
      </c>
      <c r="Q29" s="40">
        <f t="shared" si="0"/>
        <v>4.107343918243466</v>
      </c>
    </row>
    <row r="30" spans="9:17" ht="9" customHeight="1">
      <c r="I30" s="38">
        <v>26</v>
      </c>
      <c r="J30" s="124">
        <f>2*Polars!$G$18*9.81/(1.225*Polars!$G$13*'Climb + Ceiling'!I30^2)</f>
        <v>1.076945032988989</v>
      </c>
      <c r="K30" s="124">
        <f>Polars!$G$19+'Climb + Ceiling'!J30^2/(PI()*Polars!$G$24*Polars!$G$28)</f>
        <v>0.040315469008783814</v>
      </c>
      <c r="L30" s="125">
        <f>0.5*1.225*I30^3*K30*Polars!$G$13/1000</f>
        <v>8.11595181632887</v>
      </c>
      <c r="M30" s="40">
        <f>1.6/(1+(1+4*K30*Polars!$G$13/(PI()*Polars!$G$17^2))^0.5)</f>
        <v>0.7427402394812406</v>
      </c>
      <c r="N30" s="125">
        <f>Polars!$G$23*1000*'Climb + Ceiling'!M30/1000</f>
        <v>43.07893388991195</v>
      </c>
      <c r="O30" s="40">
        <f>N30*1000/(Polars!$G$18*9.81)</f>
        <v>5.166268980021821</v>
      </c>
      <c r="P30" s="40">
        <f>L30*1000/(Polars!$G$18*9.81)</f>
        <v>0.9733107652849877</v>
      </c>
      <c r="Q30" s="40">
        <f t="shared" si="0"/>
        <v>4.192958214736833</v>
      </c>
    </row>
    <row r="31" spans="9:17" ht="9" customHeight="1">
      <c r="I31" s="38">
        <v>28</v>
      </c>
      <c r="J31" s="124">
        <f>2*Polars!$G$18*9.81/(1.225*Polars!$G$13*'Climb + Ceiling'!I31^2)</f>
        <v>0.9285903600772404</v>
      </c>
      <c r="K31" s="124">
        <f>Polars!$G$19+'Climb + Ceiling'!J31^2/(PI()*Polars!$G$24*Polars!$G$28)</f>
        <v>0.03300028921178349</v>
      </c>
      <c r="L31" s="125">
        <f>0.5*1.225*I31^3*K31*Polars!$G$13/1000</f>
        <v>8.297352477305378</v>
      </c>
      <c r="M31" s="40">
        <f>1.6/(1+(1+4*K31*Polars!$G$13/(PI()*Polars!$G$17^2))^0.5)</f>
        <v>0.7519592025936379</v>
      </c>
      <c r="N31" s="125">
        <f>Polars!$G$23*1000*'Climb + Ceiling'!M31/1000</f>
        <v>43.613633750431</v>
      </c>
      <c r="O31" s="40">
        <f>N31*1000/(Polars!$G$18*9.81)</f>
        <v>5.2303932062638365</v>
      </c>
      <c r="P31" s="40">
        <f>L31*1000/(Polars!$G$18*9.81)</f>
        <v>0.9950653567554569</v>
      </c>
      <c r="Q31" s="40">
        <f t="shared" si="0"/>
        <v>4.23532784950838</v>
      </c>
    </row>
    <row r="32" spans="9:17" ht="9" customHeight="1">
      <c r="I32" s="38">
        <v>30</v>
      </c>
      <c r="J32" s="124">
        <f>2*Polars!$G$18*9.81/(1.225*Polars!$G$13*'Climb + Ceiling'!I32^2)</f>
        <v>0.8089053803339517</v>
      </c>
      <c r="K32" s="124">
        <f>Polars!$G$19+'Climb + Ceiling'!J32^2/(PI()*Polars!$G$24*Polars!$G$28)</f>
        <v>0.02788751230340493</v>
      </c>
      <c r="L32" s="125">
        <f>0.5*1.225*I32^3*K32*Polars!$G$13/1000</f>
        <v>8.624248039218353</v>
      </c>
      <c r="M32" s="40">
        <f>1.6/(1+(1+4*K32*Polars!$G$13/(PI()*Polars!$G$17^2))^0.5)</f>
        <v>0.7586739391235695</v>
      </c>
      <c r="N32" s="125">
        <f>Polars!$G$23*1000*'Climb + Ceiling'!M32/1000</f>
        <v>44.00308846916703</v>
      </c>
      <c r="O32" s="40">
        <f>N32*1000/(Polars!$G$18*9.81)</f>
        <v>5.277098815034722</v>
      </c>
      <c r="P32" s="40">
        <f>L32*1000/(Polars!$G$18*9.81)</f>
        <v>1.034268518224903</v>
      </c>
      <c r="Q32" s="40">
        <f t="shared" si="0"/>
        <v>4.242830296809819</v>
      </c>
    </row>
    <row r="33" spans="9:17" ht="9" customHeight="1">
      <c r="I33" s="38">
        <v>32</v>
      </c>
      <c r="J33" s="124">
        <f>2*Polars!$G$18*9.81/(1.225*Polars!$G$13*'Climb + Ceiling'!I33^2)</f>
        <v>0.7109519944341373</v>
      </c>
      <c r="K33" s="124">
        <f>Polars!$G$19+'Climb + Ceiling'!J33^2/(PI()*Polars!$G$24*Polars!$G$28)</f>
        <v>0.02422722031188774</v>
      </c>
      <c r="L33" s="125">
        <f>0.5*1.225*I33^3*K33*Polars!$G$13/1000</f>
        <v>9.092875047642208</v>
      </c>
      <c r="M33" s="40">
        <f>1.6/(1+(1+4*K33*Polars!$G$13/(PI()*Polars!$G$17^2))^0.5)</f>
        <v>0.7636276942188943</v>
      </c>
      <c r="N33" s="125">
        <f>Polars!$G$23*1000*'Climb + Ceiling'!M33/1000</f>
        <v>44.29040626469587</v>
      </c>
      <c r="O33" s="40">
        <f>N33*1000/(Polars!$G$18*9.81)</f>
        <v>5.311555587299379</v>
      </c>
      <c r="P33" s="40">
        <f>L33*1000/(Polars!$G$18*9.81)</f>
        <v>1.0904689149897713</v>
      </c>
      <c r="Q33" s="40">
        <f t="shared" si="0"/>
        <v>4.221086672309608</v>
      </c>
    </row>
    <row r="34" spans="9:17" ht="9" customHeight="1">
      <c r="I34" s="38">
        <v>34</v>
      </c>
      <c r="J34" s="124">
        <f>2*Polars!$G$18*9.81/(1.225*Polars!$G$13*'Climb + Ceiling'!I34^2)</f>
        <v>0.629770624827471</v>
      </c>
      <c r="K34" s="124">
        <f>Polars!$G$19+'Climb + Ceiling'!J34^2/(PI()*Polars!$G$24*Polars!$G$28)</f>
        <v>0.021551204012881485</v>
      </c>
      <c r="L34" s="125">
        <f>0.5*1.225*I34^3*K34*Polars!$G$13/1000</f>
        <v>9.701882014839724</v>
      </c>
      <c r="M34" s="40">
        <f>1.6/(1+(1+4*K34*Polars!$G$13/(PI()*Polars!$G$17^2))^0.5)</f>
        <v>0.7673306472090714</v>
      </c>
      <c r="N34" s="125">
        <f>Polars!$G$23*1000*'Climb + Ceiling'!M34/1000</f>
        <v>44.50517753812614</v>
      </c>
      <c r="O34" s="40">
        <f>N34*1000/(Polars!$G$18*9.81)</f>
        <v>5.337312171029098</v>
      </c>
      <c r="P34" s="40">
        <f>L34*1000/(Polars!$G$18*9.81)</f>
        <v>1.1635044690099807</v>
      </c>
      <c r="Q34" s="40">
        <f t="shared" si="0"/>
        <v>4.1738077020191175</v>
      </c>
    </row>
    <row r="35" spans="9:17" ht="9" customHeight="1">
      <c r="I35" s="38">
        <v>36</v>
      </c>
      <c r="J35" s="124">
        <f>2*Polars!$G$18*9.81/(1.225*Polars!$G$13*'Climb + Ceiling'!I35^2)</f>
        <v>0.5617398474541331</v>
      </c>
      <c r="K35" s="124">
        <f>Polars!$G$19+'Climb + Ceiling'!J35^2/(PI()*Polars!$G$24*Polars!$G$28)</f>
        <v>0.019558252461132776</v>
      </c>
      <c r="L35" s="125">
        <f>0.5*1.225*I35^3*K35*Polars!$G$13/1000</f>
        <v>10.451659429015296</v>
      </c>
      <c r="M35" s="40">
        <f>1.6/(1+(1+4*K35*Polars!$G$13/(PI()*Polars!$G$17^2))^0.5)</f>
        <v>0.7701346710297656</v>
      </c>
      <c r="N35" s="125">
        <f>Polars!$G$23*1000*'Climb + Ceiling'!M35/1000</f>
        <v>44.667810919726406</v>
      </c>
      <c r="O35" s="40">
        <f>N35*1000/(Polars!$G$18*9.81)</f>
        <v>5.356816084394844</v>
      </c>
      <c r="P35" s="40">
        <f>L35*1000/(Polars!$G$18*9.81)</f>
        <v>1.2534220098357374</v>
      </c>
      <c r="Q35" s="40">
        <f t="shared" si="0"/>
        <v>4.103394074559107</v>
      </c>
    </row>
    <row r="36" spans="9:17" ht="9" customHeight="1">
      <c r="I36" s="38">
        <v>38</v>
      </c>
      <c r="J36" s="124">
        <f>2*Polars!$G$18*9.81/(1.225*Polars!$G$13*'Climb + Ceiling'!I36^2)</f>
        <v>0.5041654032552331</v>
      </c>
      <c r="K36" s="124">
        <f>Polars!$G$19+'Climb + Ceiling'!J36^2/(PI()*Polars!$G$24*Polars!$G$28)</f>
        <v>0.018049417287773074</v>
      </c>
      <c r="L36" s="125">
        <f>0.5*1.225*I36^3*K36*Polars!$G$13/1000</f>
        <v>11.343881339593441</v>
      </c>
      <c r="M36" s="40">
        <f>1.6/(1+(1+4*K36*Polars!$G$13/(PI()*Polars!$G$17^2))^0.5)</f>
        <v>0.7722845590190982</v>
      </c>
      <c r="N36" s="125">
        <f>Polars!$G$23*1000*'Climb + Ceiling'!M36/1000</f>
        <v>44.792504423107694</v>
      </c>
      <c r="O36" s="40">
        <f>N36*1000/(Polars!$G$18*9.81)</f>
        <v>5.371770033352245</v>
      </c>
      <c r="P36" s="40">
        <f>L36*1000/(Polars!$G$18*9.81)</f>
        <v>1.360422298925879</v>
      </c>
      <c r="Q36" s="40">
        <f t="shared" si="0"/>
        <v>4.011347734426366</v>
      </c>
    </row>
    <row r="37" spans="9:17" ht="9" customHeight="1">
      <c r="I37" s="38">
        <v>40</v>
      </c>
      <c r="J37" s="124">
        <f>2*Polars!$G$18*9.81/(1.225*Polars!$G$13*'Climb + Ceiling'!I37^2)</f>
        <v>0.4550092764378478</v>
      </c>
      <c r="K37" s="124">
        <f>Polars!$G$19+'Climb + Ceiling'!J37^2/(PI()*Polars!$G$24*Polars!$G$28)</f>
        <v>0.016890189439749216</v>
      </c>
      <c r="L37" s="125">
        <f>0.5*1.225*I37^3*K37*Polars!$G$13/1000</f>
        <v>12.381184466913766</v>
      </c>
      <c r="M37" s="40">
        <f>1.6/(1+(1+4*K37*Polars!$G$13/(PI()*Polars!$G$17^2))^0.5)</f>
        <v>0.7739524442063221</v>
      </c>
      <c r="N37" s="125">
        <f>Polars!$G$23*1000*'Climb + Ceiling'!M37/1000</f>
        <v>44.88924176396668</v>
      </c>
      <c r="O37" s="40">
        <f>N37*1000/(Polars!$G$18*9.81)</f>
        <v>5.383371321456699</v>
      </c>
      <c r="P37" s="40">
        <f>L37*1000/(Polars!$G$18*9.81)</f>
        <v>1.4848215466707162</v>
      </c>
      <c r="Q37" s="40">
        <f t="shared" si="0"/>
        <v>3.898549774785983</v>
      </c>
    </row>
    <row r="38" spans="9:17" ht="9" customHeight="1">
      <c r="I38" s="38">
        <v>42</v>
      </c>
      <c r="J38" s="124">
        <f>2*Polars!$G$18*9.81/(1.225*Polars!$G$13*'Climb + Ceiling'!I38^2)</f>
        <v>0.4127068267009958</v>
      </c>
      <c r="K38" s="124">
        <f>Polars!$G$19+'Climb + Ceiling'!J38^2/(PI()*Polars!$G$24*Polars!$G$28)</f>
        <v>0.015987711449241184</v>
      </c>
      <c r="L38" s="125">
        <f>0.5*1.225*I38^3*K38*Polars!$G$13/1000</f>
        <v>13.566938994870254</v>
      </c>
      <c r="M38" s="40">
        <f>1.6/(1+(1+4*K38*Polars!$G$13/(PI()*Polars!$G$17^2))^0.5)</f>
        <v>0.7752607890801911</v>
      </c>
      <c r="N38" s="125">
        <f>Polars!$G$23*1000*'Climb + Ceiling'!M38/1000</f>
        <v>44.965125766651084</v>
      </c>
      <c r="O38" s="40">
        <f>N38*1000/(Polars!$G$18*9.81)</f>
        <v>5.392471759507236</v>
      </c>
      <c r="P38" s="40">
        <f>L38*1000/(Polars!$G$18*9.81)</f>
        <v>1.6270239245512086</v>
      </c>
      <c r="Q38" s="40">
        <f t="shared" si="0"/>
        <v>3.765447834956028</v>
      </c>
    </row>
    <row r="39" spans="9:17" ht="9" customHeight="1">
      <c r="I39" s="38">
        <v>44</v>
      </c>
      <c r="J39" s="124">
        <f>2*Polars!$G$18*9.81/(1.225*Polars!$G$13*'Climb + Ceiling'!I39^2)</f>
        <v>0.37604072432879987</v>
      </c>
      <c r="K39" s="124">
        <f>Polars!$G$19+'Climb + Ceiling'!J39^2/(PI()*Polars!$G$24*Polars!$G$28)</f>
        <v>0.015276667877705905</v>
      </c>
      <c r="L39" s="125">
        <f>0.5*1.225*I39^3*K39*Polars!$G$13/1000</f>
        <v>14.905081874648879</v>
      </c>
      <c r="M39" s="40">
        <f>1.6/(1+(1+4*K39*Polars!$G$13/(PI()*Polars!$G$17^2))^0.5)</f>
        <v>0.7762977694765003</v>
      </c>
      <c r="N39" s="125">
        <f>Polars!$G$23*1000*'Climb + Ceiling'!M39/1000</f>
        <v>45.02527062963701</v>
      </c>
      <c r="O39" s="40">
        <f>N39*1000/(Polars!$G$18*9.81)</f>
        <v>5.399684671060385</v>
      </c>
      <c r="P39" s="40">
        <f>L39*1000/(Polars!$G$18*9.81)</f>
        <v>1.7875015739819966</v>
      </c>
      <c r="Q39" s="40">
        <f t="shared" si="0"/>
        <v>3.612183097078388</v>
      </c>
    </row>
    <row r="40" spans="9:17" ht="9" customHeight="1">
      <c r="I40" s="38">
        <v>46</v>
      </c>
      <c r="J40" s="124">
        <f>2*Polars!$G$18*9.81/(1.225*Polars!$G$13*'Climb + Ceiling'!I40^2)</f>
        <v>0.34405238293977153</v>
      </c>
      <c r="K40" s="124">
        <f>Polars!$G$19+'Climb + Ceiling'!J40^2/(PI()*Polars!$G$24*Polars!$G$28)</f>
        <v>0.014710332332859998</v>
      </c>
      <c r="L40" s="125">
        <f>0.5*1.225*I40^3*K40*Polars!$G$13/1000</f>
        <v>16.399993614446753</v>
      </c>
      <c r="M40" s="40">
        <f>1.6/(1+(1+4*K40*Polars!$G$13/(PI()*Polars!$G$17^2))^0.5)</f>
        <v>0.7771276339370844</v>
      </c>
      <c r="N40" s="125">
        <f>Polars!$G$23*1000*'Climb + Ceiling'!M40/1000</f>
        <v>45.073402768350896</v>
      </c>
      <c r="O40" s="40">
        <f>N40*1000/(Polars!$G$18*9.81)</f>
        <v>5.405456948893794</v>
      </c>
      <c r="P40" s="40">
        <f>L40*1000/(Polars!$G$18*9.81)</f>
        <v>1.9667798302388624</v>
      </c>
      <c r="Q40" s="40">
        <f t="shared" si="0"/>
        <v>3.4386771186549314</v>
      </c>
    </row>
    <row r="41" spans="9:17" ht="9" customHeight="1">
      <c r="I41" s="38">
        <v>48</v>
      </c>
      <c r="J41" s="124">
        <f>2*Polars!$G$18*9.81/(1.225*Polars!$G$13*'Climb + Ceiling'!I41^2)</f>
        <v>0.3159786641929499</v>
      </c>
      <c r="K41" s="124">
        <f>Polars!$G$19+'Climb + Ceiling'!J41^2/(PI()*Polars!$G$24*Polars!$G$28)</f>
        <v>0.014254759567780294</v>
      </c>
      <c r="L41" s="125">
        <f>0.5*1.225*I41^3*K41*Polars!$G$13/1000</f>
        <v>18.056405871761477</v>
      </c>
      <c r="M41" s="40">
        <f>1.6/(1+(1+4*K41*Polars!$G$13/(PI()*Polars!$G$17^2))^0.5)</f>
        <v>0.7777977414363141</v>
      </c>
      <c r="N41" s="125">
        <f>Polars!$G$23*1000*'Climb + Ceiling'!M41/1000</f>
        <v>45.11226900330622</v>
      </c>
      <c r="O41" s="40">
        <f>N41*1000/(Polars!$G$18*9.81)</f>
        <v>5.410118007232262</v>
      </c>
      <c r="P41" s="40">
        <f>L41*1000/(Polars!$G$18*9.81)</f>
        <v>2.1654261404043265</v>
      </c>
      <c r="Q41" s="40">
        <f t="shared" si="0"/>
        <v>3.244691866827935</v>
      </c>
    </row>
    <row r="42" spans="9:17" ht="9" customHeight="1">
      <c r="I42" s="38">
        <v>50</v>
      </c>
      <c r="J42" s="124">
        <f>2*Polars!$G$18*9.81/(1.225*Polars!$G$13*'Climb + Ceiling'!I42^2)</f>
        <v>0.2912059369202226</v>
      </c>
      <c r="K42" s="124">
        <f>Polars!$G$19+'Climb + Ceiling'!J42^2/(PI()*Polars!$G$24*Polars!$G$28)</f>
        <v>0.013884941594521279</v>
      </c>
      <c r="L42" s="125">
        <f>0.5*1.225*I42^3*K42*Polars!$G$13/1000</f>
        <v>19.879331223531015</v>
      </c>
      <c r="M42" s="40">
        <f>1.6/(1+(1+4*K42*Polars!$G$13/(PI()*Polars!$G$17^2))^0.5)</f>
        <v>0.7783433914723538</v>
      </c>
      <c r="N42" s="125">
        <f>Polars!$G$23*1000*'Climb + Ceiling'!M42/1000</f>
        <v>45.14391670539652</v>
      </c>
      <c r="O42" s="40">
        <f>N42*1000/(Polars!$G$18*9.81)</f>
        <v>5.413913378353004</v>
      </c>
      <c r="P42" s="40">
        <f>L42*1000/(Polars!$G$18*9.81)</f>
        <v>2.3840416410062977</v>
      </c>
      <c r="Q42" s="40">
        <f t="shared" si="0"/>
        <v>3.0298717373467063</v>
      </c>
    </row>
    <row r="43" spans="9:17" ht="9" customHeight="1">
      <c r="I43" s="38">
        <v>52</v>
      </c>
      <c r="J43" s="124">
        <f>2*Polars!$G$18*9.81/(1.225*Polars!$G$13*'Climb + Ceiling'!I43^2)</f>
        <v>0.26923625824724723</v>
      </c>
      <c r="K43" s="124">
        <f>Polars!$G$19+'Climb + Ceiling'!J43^2/(PI()*Polars!$G$24*Polars!$G$28)</f>
        <v>0.013582216813048989</v>
      </c>
      <c r="L43" s="125">
        <f>0.5*1.225*I43^3*K43*Polars!$G$13/1000</f>
        <v>21.874009143164436</v>
      </c>
      <c r="M43" s="40">
        <f>1.6/(1+(1+4*K43*Polars!$G$13/(PI()*Polars!$G$17^2))^0.5)</f>
        <v>0.7787911751163364</v>
      </c>
      <c r="N43" s="125">
        <f>Polars!$G$23*1000*'Climb + Ceiling'!M43/1000</f>
        <v>45.16988815674751</v>
      </c>
      <c r="O43" s="40">
        <f>N43*1000/(Polars!$G$18*9.81)</f>
        <v>5.417028021436411</v>
      </c>
      <c r="P43" s="40">
        <f>L43*1000/(Polars!$G$18*9.81)</f>
        <v>2.62325467927858</v>
      </c>
      <c r="Q43" s="40">
        <f t="shared" si="0"/>
        <v>2.7937733421578312</v>
      </c>
    </row>
    <row r="44" spans="9:17" ht="9" customHeight="1">
      <c r="I44" s="38">
        <v>54</v>
      </c>
      <c r="J44" s="124">
        <f>2*Polars!$G$18*9.81/(1.225*Polars!$G$13*'Climb + Ceiling'!I44^2)</f>
        <v>0.24966215442405917</v>
      </c>
      <c r="K44" s="124">
        <f>Polars!$G$19+'Climb + Ceiling'!J44^2/(PI()*Polars!$G$24*Polars!$G$28)</f>
        <v>0.013332494313310178</v>
      </c>
      <c r="L44" s="125">
        <f>0.5*1.225*I44^3*K44*Polars!$G$13/1000</f>
        <v>24.045863982676867</v>
      </c>
      <c r="M44" s="40">
        <f>1.6/(1+(1+4*K44*Polars!$G$13/(PI()*Polars!$G$17^2))^0.5)</f>
        <v>0.7791613256981762</v>
      </c>
      <c r="N44" s="125">
        <f>Polars!$G$23*1000*'Climb + Ceiling'!M44/1000</f>
        <v>45.19135689049422</v>
      </c>
      <c r="O44" s="40">
        <f>N44*1000/(Polars!$G$18*9.81)</f>
        <v>5.419602673201921</v>
      </c>
      <c r="P44" s="40">
        <f>L44*1000/(Polars!$G$18*9.81)</f>
        <v>2.8837157741412565</v>
      </c>
      <c r="Q44" s="40">
        <f t="shared" si="0"/>
        <v>2.5358868990606647</v>
      </c>
    </row>
    <row r="45" spans="9:17" ht="9" customHeight="1">
      <c r="I45" s="38">
        <v>56</v>
      </c>
      <c r="J45" s="124">
        <f>2*Polars!$G$18*9.81/(1.225*Polars!$G$13*'Climb + Ceiling'!I45^2)</f>
        <v>0.2321475900193101</v>
      </c>
      <c r="K45" s="124">
        <f>Polars!$G$19+'Climb + Ceiling'!J45^2/(PI()*Polars!$G$24*Polars!$G$28)</f>
        <v>0.013125018075736468</v>
      </c>
      <c r="L45" s="125">
        <f>0.5*1.225*I45^3*K45*Polars!$G$13/1000</f>
        <v>26.40047195865269</v>
      </c>
      <c r="M45" s="40">
        <f>1.6/(1+(1+4*K45*Polars!$G$13/(PI()*Polars!$G$17^2))^0.5)</f>
        <v>0.7794693859114077</v>
      </c>
      <c r="N45" s="125">
        <f>Polars!$G$23*1000*'Climb + Ceiling'!M45/1000</f>
        <v>45.20922438286165</v>
      </c>
      <c r="O45" s="40">
        <f>N45*1000/(Polars!$G$18*9.81)</f>
        <v>5.421745443768262</v>
      </c>
      <c r="P45" s="40">
        <f>L45*1000/(Polars!$G$18*9.81)</f>
        <v>3.166093656971001</v>
      </c>
      <c r="Q45" s="40">
        <f t="shared" si="0"/>
        <v>2.2556517867972605</v>
      </c>
    </row>
    <row r="46" spans="9:17" ht="9" customHeight="1">
      <c r="I46" s="38">
        <v>58</v>
      </c>
      <c r="J46" s="124">
        <f>2*Polars!$G$18*9.81/(1.225*Polars!$G$13*'Climb + Ceiling'!I46^2)</f>
        <v>0.21641344895973738</v>
      </c>
      <c r="K46" s="124">
        <f>Polars!$G$19+'Climb + Ceiling'!J46^2/(PI()*Polars!$G$24*Polars!$G$28)</f>
        <v>0.012951494682254825</v>
      </c>
      <c r="L46" s="125">
        <f>0.5*1.225*I46^3*K46*Polars!$G$13/1000</f>
        <v>28.94353496869915</v>
      </c>
      <c r="M46" s="40">
        <f>1.6/(1+(1+4*K46*Polars!$G$13/(PI()*Polars!$G$17^2))^0.5)</f>
        <v>0.7797274028438602</v>
      </c>
      <c r="N46" s="125">
        <f>Polars!$G$23*1000*'Climb + Ceiling'!M46/1000</f>
        <v>45.224189364943896</v>
      </c>
      <c r="O46" s="40">
        <f>N46*1000/(Polars!$G$18*9.81)</f>
        <v>5.423540128913341</v>
      </c>
      <c r="P46" s="40">
        <f>L46*1000/(Polars!$G$18*9.81)</f>
        <v>3.4710721315223543</v>
      </c>
      <c r="Q46" s="40">
        <f t="shared" si="0"/>
        <v>1.952467997390987</v>
      </c>
    </row>
    <row r="47" spans="9:17" ht="9" customHeight="1">
      <c r="I47" s="38">
        <v>60</v>
      </c>
      <c r="J47" s="124">
        <f>2*Polars!$G$18*9.81/(1.225*Polars!$G$13*'Climb + Ceiling'!I47^2)</f>
        <v>0.2022263450834879</v>
      </c>
      <c r="K47" s="124">
        <f>Polars!$G$19+'Climb + Ceiling'!J47^2/(PI()*Polars!$G$24*Polars!$G$28)</f>
        <v>0.012805469518962808</v>
      </c>
      <c r="L47" s="125">
        <f>0.5*1.225*I47^3*K47*Polars!$G$13/1000</f>
        <v>31.680859644609175</v>
      </c>
      <c r="M47" s="40">
        <f>1.6/(1+(1+4*K47*Polars!$G$13/(PI()*Polars!$G$17^2))^0.5)</f>
        <v>0.7799447935297894</v>
      </c>
      <c r="N47" s="125">
        <f>Polars!$G$23*1000*'Climb + Ceiling'!M47/1000</f>
        <v>45.23679802472779</v>
      </c>
      <c r="O47" s="40">
        <f>N47*1000/(Polars!$G$18*9.81)</f>
        <v>5.425052230584372</v>
      </c>
      <c r="P47" s="40">
        <f>L47*1000/(Polars!$G$18*9.81)</f>
        <v>3.799347561864745</v>
      </c>
      <c r="Q47" s="40">
        <f t="shared" si="0"/>
        <v>1.625704668719627</v>
      </c>
    </row>
    <row r="48" spans="9:17" ht="9" customHeight="1">
      <c r="I48" s="38">
        <v>62</v>
      </c>
      <c r="J48" s="124">
        <f>2*Polars!$G$18*9.81/(1.225*Polars!$G$13*'Climb + Ceiling'!I48^2)</f>
        <v>0.18938991735186173</v>
      </c>
      <c r="K48" s="124">
        <f>Polars!$G$19+'Climb + Ceiling'!J48^2/(PI()*Polars!$G$24*Polars!$G$28)</f>
        <v>0.012681875247406257</v>
      </c>
      <c r="L48" s="125">
        <f>0.5*1.225*I48^3*K48*Polars!$G$13/1000</f>
        <v>34.61834045975082</v>
      </c>
      <c r="M48" s="40">
        <f>1.6/(1+(1+4*K48*Polars!$G$13/(PI()*Polars!$G$17^2))^0.5)</f>
        <v>0.7801289781367211</v>
      </c>
      <c r="N48" s="125">
        <f>Polars!$G$23*1000*'Climb + Ceiling'!M48/1000</f>
        <v>45.24748073192983</v>
      </c>
      <c r="O48" s="40">
        <f>N48*1000/(Polars!$G$18*9.81)</f>
        <v>5.426333361147668</v>
      </c>
      <c r="P48" s="40">
        <f>L48*1000/(Polars!$G$18*9.81)</f>
        <v>4.151626846525253</v>
      </c>
      <c r="Q48" s="40">
        <f t="shared" si="0"/>
        <v>1.274706514622415</v>
      </c>
    </row>
    <row r="49" spans="9:17" ht="9" customHeight="1">
      <c r="I49" s="38">
        <v>64</v>
      </c>
      <c r="J49" s="124">
        <f>2*Polars!$G$18*9.81/(1.225*Polars!$G$13*'Climb + Ceiling'!I49^2)</f>
        <v>0.17773799860853431</v>
      </c>
      <c r="K49" s="124">
        <f>Polars!$G$19+'Climb + Ceiling'!J49^2/(PI()*Polars!$G$24*Polars!$G$28)</f>
        <v>0.012576701269492983</v>
      </c>
      <c r="L49" s="125">
        <f>0.5*1.225*I49^3*K49*Polars!$G$13/1000</f>
        <v>37.7619460038211</v>
      </c>
      <c r="M49" s="40">
        <f>1.6/(1+(1+4*K49*Polars!$G$13/(PI()*Polars!$G$17^2))^0.5)</f>
        <v>0.7802858476038469</v>
      </c>
      <c r="N49" s="125">
        <f>Polars!$G$23*1000*'Climb + Ceiling'!M49/1000</f>
        <v>45.25657916102312</v>
      </c>
      <c r="O49" s="40">
        <f>N49*1000/(Polars!$G$18*9.81)</f>
        <v>5.4274244961351705</v>
      </c>
      <c r="P49" s="40">
        <f>L49*1000/(Polars!$G$18*9.81)</f>
        <v>4.528625772479595</v>
      </c>
      <c r="Q49" s="40">
        <f t="shared" si="0"/>
        <v>0.8987987236555757</v>
      </c>
    </row>
    <row r="50" spans="9:17" ht="9" customHeight="1">
      <c r="I50" s="38">
        <v>66</v>
      </c>
      <c r="J50" s="124">
        <f>2*Polars!$G$18*9.81/(1.225*Polars!$G$13*'Climb + Ceiling'!I50^2)</f>
        <v>0.16712921081279994</v>
      </c>
      <c r="K50" s="124">
        <f>Polars!$G$19+'Climb + Ceiling'!J50^2/(PI()*Polars!$G$24*Polars!$G$28)</f>
        <v>0.012486749210411043</v>
      </c>
      <c r="L50" s="125">
        <f>0.5*1.225*I50^3*K50*Polars!$G$13/1000</f>
        <v>41.11770775309925</v>
      </c>
      <c r="M50" s="40">
        <f>1.6/(1+(1+4*K50*Polars!$G$13/(PI()*Polars!$G$17^2))^0.5)</f>
        <v>0.7804201121718559</v>
      </c>
      <c r="N50" s="125">
        <f>Polars!$G$23*1000*'Climb + Ceiling'!M50/1000</f>
        <v>45.264366505967644</v>
      </c>
      <c r="O50" s="40">
        <f>N50*1000/(Polars!$G$18*9.81)</f>
        <v>5.428358398509041</v>
      </c>
      <c r="P50" s="40">
        <f>L50*1000/(Polars!$G$18*9.81)</f>
        <v>4.931067668417492</v>
      </c>
      <c r="Q50" s="40">
        <f t="shared" si="0"/>
        <v>0.49729073009154945</v>
      </c>
    </row>
    <row r="51" spans="9:17" ht="9" customHeight="1">
      <c r="I51" s="38">
        <v>68</v>
      </c>
      <c r="J51" s="124">
        <f>2*Polars!$G$18*9.81/(1.225*Polars!$G$13*'Climb + Ceiling'!I51^2)</f>
        <v>0.15744265620686776</v>
      </c>
      <c r="K51" s="124">
        <f>Polars!$G$19+'Climb + Ceiling'!J51^2/(PI()*Polars!$G$24*Polars!$G$28)</f>
        <v>0.012409450250805093</v>
      </c>
      <c r="L51" s="125">
        <f>0.5*1.225*I51^3*K51*Polars!$G$13/1000</f>
        <v>44.69171082241986</v>
      </c>
      <c r="M51" s="40">
        <f>1.6/(1+(1+4*K51*Polars!$G$13/(PI()*Polars!$G$17^2))^0.5)</f>
        <v>0.7805355634032757</v>
      </c>
      <c r="N51" s="125">
        <f>Polars!$G$23*1000*'Climb + Ceiling'!M51/1000</f>
        <v>45.271062677389985</v>
      </c>
      <c r="O51" s="40">
        <f>N51*1000/(Polars!$G$18*9.81)</f>
        <v>5.4291614411932585</v>
      </c>
      <c r="P51" s="40">
        <f>L51*1000/(Polars!$G$18*9.81)</f>
        <v>5.35968229566707</v>
      </c>
      <c r="Q51" s="40">
        <f t="shared" si="0"/>
        <v>0.06947914552618872</v>
      </c>
    </row>
    <row r="52" spans="9:17" ht="9" customHeight="1">
      <c r="I52" s="38">
        <v>70</v>
      </c>
      <c r="J52" s="124">
        <f>2*Polars!$G$18*9.81/(1.225*Polars!$G$13*'Climb + Ceiling'!I52^2)</f>
        <v>0.14857445761235846</v>
      </c>
      <c r="K52" s="124">
        <f>Polars!$G$19+'Climb + Ceiling'!J52^2/(PI()*Polars!$G$24*Polars!$G$28)</f>
        <v>0.012342727403821656</v>
      </c>
      <c r="L52" s="125">
        <f>0.5*1.225*I52^3*K52*Polars!$G$13/1000</f>
        <v>48.49008630252215</v>
      </c>
      <c r="M52" s="40">
        <f>1.6/(1+(1+4*K52*Polars!$G$13/(PI()*Polars!$G$17^2))^0.5)</f>
        <v>0.7806352727984291</v>
      </c>
      <c r="N52" s="125">
        <f>Polars!$G$23*1000*'Climb + Ceiling'!M52/1000</f>
        <v>45.276845822308886</v>
      </c>
      <c r="O52" s="40">
        <f>N52*1000/(Polars!$G$18*9.81)</f>
        <v>5.429854988584145</v>
      </c>
      <c r="P52" s="40">
        <f>L52*1000/(Polars!$G$18*9.81)</f>
        <v>5.815204929246525</v>
      </c>
      <c r="Q52" s="40">
        <f t="shared" si="0"/>
        <v>-0.3853499406623797</v>
      </c>
    </row>
    <row r="53" spans="9:17" ht="9" customHeight="1">
      <c r="I53" s="38">
        <v>72</v>
      </c>
      <c r="J53" s="124">
        <f>2*Polars!$G$18*9.81/(1.225*Polars!$G$13*'Climb + Ceiling'!I53^2)</f>
        <v>0.14043496186353327</v>
      </c>
      <c r="K53" s="124">
        <f>Polars!$G$19+'Climb + Ceiling'!J53^2/(PI()*Polars!$G$24*Polars!$G$28)</f>
        <v>0.012284890778820797</v>
      </c>
      <c r="L53" s="125">
        <f>0.5*1.225*I53^3*K53*Polars!$G$13/1000</f>
        <v>52.519004874507644</v>
      </c>
      <c r="M53" s="40">
        <f>1.6/(1+(1+4*K53*Polars!$G$13/(PI()*Polars!$G$17^2))^0.5)</f>
        <v>0.7807217435364938</v>
      </c>
      <c r="N53" s="125">
        <f>Polars!$G$23*1000*'Climb + Ceiling'!M53/1000</f>
        <v>45.28186112511664</v>
      </c>
      <c r="O53" s="40">
        <f>N53*1000/(Polars!$G$18*9.81)</f>
        <v>5.430456452013749</v>
      </c>
      <c r="P53" s="40">
        <f>L53*1000/(Polars!$G$18*9.81)</f>
        <v>6.298375592073831</v>
      </c>
      <c r="Q53" s="40">
        <f t="shared" si="0"/>
        <v>-0.8679191400600823</v>
      </c>
    </row>
    <row r="54" spans="9:17" ht="9" customHeight="1">
      <c r="I54" s="38">
        <v>74</v>
      </c>
      <c r="J54" s="124">
        <f>2*Polars!$G$18*9.81/(1.225*Polars!$G$13*'Climb + Ceiling'!I54^2)</f>
        <v>0.13294646499279703</v>
      </c>
      <c r="K54" s="124">
        <f>Polars!$G$19+'Climb + Ceiling'!J54^2/(PI()*Polars!$G$24*Polars!$G$28)</f>
        <v>0.012234557282090426</v>
      </c>
      <c r="L54" s="125">
        <f>0.5*1.225*I54^3*K54*Polars!$G$13/1000</f>
        <v>56.78467145979122</v>
      </c>
      <c r="M54" s="40">
        <f>1.6/(1+(1+4*K54*Polars!$G$13/(PI()*Polars!$G$17^2))^0.5)</f>
        <v>0.780797027273593</v>
      </c>
      <c r="N54" s="125">
        <f>Polars!$G$23*1000*'Climb + Ceiling'!M54/1000</f>
        <v>45.286227581868395</v>
      </c>
      <c r="O54" s="40">
        <f>N54*1000/(Polars!$G$18*9.81)</f>
        <v>5.430980102160867</v>
      </c>
      <c r="P54" s="40">
        <f>L54*1000/(Polars!$G$18*9.81)</f>
        <v>6.8099384133586645</v>
      </c>
      <c r="Q54" s="40">
        <f t="shared" si="0"/>
        <v>-1.3789583111977972</v>
      </c>
    </row>
    <row r="55" spans="9:17" ht="9" customHeight="1">
      <c r="I55" s="38">
        <v>76</v>
      </c>
      <c r="J55" s="124">
        <f>2*Polars!$G$18*9.81/(1.225*Polars!$G$13*'Climb + Ceiling'!I55^2)</f>
        <v>0.12604135081380827</v>
      </c>
      <c r="K55" s="124">
        <f>Polars!$G$19+'Climb + Ceiling'!J55^2/(PI()*Polars!$G$24*Polars!$G$28)</f>
        <v>0.012190588580485816</v>
      </c>
      <c r="L55" s="125">
        <f>0.5*1.225*I55^3*K55*Polars!$G$13/1000</f>
        <v>61.29332071479672</v>
      </c>
      <c r="M55" s="40">
        <f>1.6/(1+(1+4*K55*Polars!$G$13/(PI()*Polars!$G$17^2))^0.5)</f>
        <v>0.7808628146856906</v>
      </c>
      <c r="N55" s="125">
        <f>Polars!$G$23*1000*'Climb + Ceiling'!M55/1000</f>
        <v>45.29004325177005</v>
      </c>
      <c r="O55" s="40">
        <f>N55*1000/(Polars!$G$18*9.81)</f>
        <v>5.431437698839126</v>
      </c>
      <c r="P55" s="40">
        <f>L55*1000/(Polars!$G$18*9.81)</f>
        <v>7.3506410883008595</v>
      </c>
      <c r="Q55" s="40">
        <f t="shared" si="0"/>
        <v>-1.9192033894617335</v>
      </c>
    </row>
    <row r="56" spans="9:17" ht="9" customHeight="1">
      <c r="I56" s="38">
        <v>78</v>
      </c>
      <c r="J56" s="124">
        <f>2*Polars!$G$18*9.81/(1.225*Polars!$G$13*'Climb + Ceiling'!I56^2)</f>
        <v>0.11966055922099877</v>
      </c>
      <c r="K56" s="124">
        <f>Polars!$G$19+'Climb + Ceiling'!J56^2/(PI()*Polars!$G$24*Polars!$G$28)</f>
        <v>0.012152042827268936</v>
      </c>
      <c r="L56" s="125">
        <f>0.5*1.225*I56^3*K56*Polars!$G$13/1000</f>
        <v>66.0512132187763</v>
      </c>
      <c r="M56" s="40">
        <f>1.6/(1+(1+4*K56*Polars!$G$13/(PI()*Polars!$G$17^2))^0.5)</f>
        <v>0.7809205061345051</v>
      </c>
      <c r="N56" s="125">
        <f>Polars!$G$23*1000*'Climb + Ceiling'!M56/1000</f>
        <v>45.2933893558013</v>
      </c>
      <c r="O56" s="40">
        <f>N56*1000/(Polars!$G$18*9.81)</f>
        <v>5.4318389825269895</v>
      </c>
      <c r="P56" s="40">
        <f>L56*1000/(Polars!$G$18*9.81)</f>
        <v>7.92123442091219</v>
      </c>
      <c r="Q56" s="40">
        <f t="shared" si="0"/>
        <v>-2.4893954383852</v>
      </c>
    </row>
    <row r="57" spans="9:17" ht="9" customHeight="1">
      <c r="I57" s="38">
        <v>80</v>
      </c>
      <c r="J57" s="124">
        <f>2*Polars!$G$18*9.81/(1.225*Polars!$G$13*'Climb + Ceiling'!I57^2)</f>
        <v>0.11375231910946194</v>
      </c>
      <c r="K57" s="124">
        <f>Polars!$G$19+'Climb + Ceiling'!J57^2/(PI()*Polars!$G$24*Polars!$G$28)</f>
        <v>0.012118136839984325</v>
      </c>
      <c r="L57" s="125">
        <f>0.5*1.225*I57^3*K57*Polars!$G$13/1000</f>
        <v>71.06463223345686</v>
      </c>
      <c r="M57" s="40">
        <f>1.6/(1+(1+4*K57*Polars!$G$13/(PI()*Polars!$G$17^2))^0.5)</f>
        <v>0.7809712671763424</v>
      </c>
      <c r="N57" s="125">
        <f>Polars!$G$23*1000*'Climb + Ceiling'!M57/1000</f>
        <v>45.29633349622785</v>
      </c>
      <c r="O57" s="40">
        <f>N57*1000/(Polars!$G$18*9.81)</f>
        <v>5.432192060469851</v>
      </c>
      <c r="P57" s="40">
        <f>L57*1000/(Polars!$G$18*9.81)</f>
        <v>8.522471935414867</v>
      </c>
      <c r="Q57" s="40">
        <f t="shared" si="0"/>
        <v>-3.0902798749450158</v>
      </c>
    </row>
    <row r="62" spans="1:5" ht="18">
      <c r="A62" s="409" t="s">
        <v>141</v>
      </c>
      <c r="B62" s="409"/>
      <c r="C62" s="409"/>
      <c r="D62" s="409"/>
      <c r="E62" s="409"/>
    </row>
    <row r="63" spans="1:5" ht="12.75">
      <c r="A63" s="449" t="s">
        <v>107</v>
      </c>
      <c r="B63" s="449"/>
      <c r="C63" s="449"/>
      <c r="D63" s="449"/>
      <c r="E63" s="449"/>
    </row>
    <row r="64" spans="1:5" ht="12.75">
      <c r="A64" s="449"/>
      <c r="B64" s="449"/>
      <c r="C64" s="449"/>
      <c r="D64" s="449"/>
      <c r="E64" s="449"/>
    </row>
    <row r="65" spans="8:11" ht="12.75">
      <c r="H65" s="112"/>
      <c r="I65" s="112"/>
      <c r="J65" s="112"/>
      <c r="K65" s="112"/>
    </row>
    <row r="66" ht="12.75">
      <c r="K66" s="107"/>
    </row>
    <row r="67" ht="12.75">
      <c r="K67" s="107"/>
    </row>
    <row r="68" spans="11:14" ht="12.75" customHeight="1">
      <c r="K68" s="107"/>
      <c r="N68" s="126"/>
    </row>
    <row r="69" spans="11:13" ht="12.75">
      <c r="K69" s="127"/>
      <c r="M69" s="127"/>
    </row>
    <row r="70" spans="9:22" ht="33.75">
      <c r="I70" s="123" t="s">
        <v>247</v>
      </c>
      <c r="J70" s="123" t="s">
        <v>248</v>
      </c>
      <c r="K70" s="123" t="s">
        <v>249</v>
      </c>
      <c r="L70" s="123" t="s">
        <v>250</v>
      </c>
      <c r="M70" s="123" t="s">
        <v>251</v>
      </c>
      <c r="N70" s="123" t="s">
        <v>252</v>
      </c>
      <c r="O70" s="123" t="s">
        <v>242</v>
      </c>
      <c r="P70" s="123" t="s">
        <v>238</v>
      </c>
      <c r="Q70" s="123" t="s">
        <v>253</v>
      </c>
      <c r="R70" s="128"/>
      <c r="T70" s="61"/>
      <c r="U70" s="61"/>
      <c r="V70" s="61"/>
    </row>
    <row r="71" spans="9:23" ht="12.75" customHeight="1">
      <c r="I71" s="101">
        <f aca="true" t="shared" si="1" ref="I71:I106">J71*0.3048</f>
        <v>0</v>
      </c>
      <c r="J71" s="101">
        <v>0</v>
      </c>
      <c r="K71" s="51">
        <f aca="true" t="shared" si="2" ref="K71:K106">(1-$O$109*J71)^4.25588</f>
        <v>1</v>
      </c>
      <c r="L71" s="51">
        <v>1.225</v>
      </c>
      <c r="M71" s="52">
        <f>Polars!$G$23*(K71-(1-K71)/7.55)</f>
        <v>58</v>
      </c>
      <c r="N71" s="52">
        <f>Polars!$G$46*($L$71/L71)^0.5</f>
        <v>24.631602207019032</v>
      </c>
      <c r="O71" s="52">
        <f>0.5*L71*N71^3*$Q$109*Polars!$G$13/1000</f>
        <v>8.081466870503037</v>
      </c>
      <c r="P71" s="40">
        <f>1.6/(1+(1+4*$Q$109*Polars!$G$13/(PI()*Polars!$G$17^2))^0.5)</f>
        <v>0.734434605486909</v>
      </c>
      <c r="Q71" s="52">
        <f aca="true" t="shared" si="3" ref="Q71:Q106">O71/P71</f>
        <v>11.003657521210153</v>
      </c>
      <c r="S71" s="323"/>
      <c r="T71" s="325">
        <f aca="true" t="shared" si="4" ref="T71:T80">ABS(M71-Q71)</f>
        <v>46.99634247878985</v>
      </c>
      <c r="U71" s="328">
        <f aca="true" t="shared" si="5" ref="U71:U106">IF(T71=MIN($T$71:$T$106),J71,"")</f>
      </c>
      <c r="V71" s="324"/>
      <c r="W71" s="103"/>
    </row>
    <row r="72" spans="3:23" ht="12.75" customHeight="1">
      <c r="C72" s="61"/>
      <c r="I72" s="101">
        <f t="shared" si="1"/>
        <v>304.8</v>
      </c>
      <c r="J72" s="101">
        <v>1000</v>
      </c>
      <c r="K72" s="51">
        <f t="shared" si="2"/>
        <v>0.9710641101545838</v>
      </c>
      <c r="L72" s="51">
        <f aca="true" t="shared" si="6" ref="L72:L106">$L$71*K72</f>
        <v>1.1895535349393653</v>
      </c>
      <c r="M72" s="52">
        <f>Polars!$G$23*(K72-(1-K72)/7.55)</f>
        <v>56.09942943386201</v>
      </c>
      <c r="N72" s="52">
        <f>Polars!$G$46*($L$71/L72)^0.5</f>
        <v>24.995896091423173</v>
      </c>
      <c r="O72" s="52">
        <f>0.5*L72*N72^3*$Q$109*Polars!$G$13/1000</f>
        <v>8.200989300801949</v>
      </c>
      <c r="P72" s="40">
        <f>1.6/(1+(1+4*$Q$109*Polars!$G$13/(PI()*Polars!$G$17^2))^0.5)</f>
        <v>0.734434605486909</v>
      </c>
      <c r="Q72" s="52">
        <f t="shared" si="3"/>
        <v>11.166398260012448</v>
      </c>
      <c r="S72" s="323"/>
      <c r="T72" s="326">
        <f t="shared" si="4"/>
        <v>44.93303117384956</v>
      </c>
      <c r="U72" s="329">
        <f t="shared" si="5"/>
      </c>
      <c r="V72" s="324"/>
      <c r="W72" s="103"/>
    </row>
    <row r="73" spans="1:23" ht="12.75" customHeight="1">
      <c r="A73" s="361" t="s">
        <v>298</v>
      </c>
      <c r="B73" s="361"/>
      <c r="C73" s="361"/>
      <c r="D73" s="361"/>
      <c r="E73" s="4" t="s">
        <v>0</v>
      </c>
      <c r="F73" s="4" t="s">
        <v>1</v>
      </c>
      <c r="G73" s="4" t="s">
        <v>2</v>
      </c>
      <c r="H73" s="4" t="s">
        <v>11</v>
      </c>
      <c r="I73" s="101">
        <f t="shared" si="1"/>
        <v>609.6</v>
      </c>
      <c r="J73" s="101">
        <v>2000</v>
      </c>
      <c r="K73" s="51">
        <f t="shared" si="2"/>
        <v>0.9427731679866026</v>
      </c>
      <c r="L73" s="51">
        <f t="shared" si="6"/>
        <v>1.1548971307835882</v>
      </c>
      <c r="M73" s="52">
        <f>Polars!$G$23*(K73-(1-K73)/7.55)</f>
        <v>54.24122039795447</v>
      </c>
      <c r="N73" s="52">
        <f>Polars!$G$46*($L$71/L73)^0.5</f>
        <v>25.368165093953564</v>
      </c>
      <c r="O73" s="52">
        <f>0.5*L73*N73^3*$Q$109*Polars!$G$13/1000</f>
        <v>8.323128314966738</v>
      </c>
      <c r="P73" s="40">
        <f>1.6/(1+(1+4*$Q$109*Polars!$G$13/(PI()*Polars!$G$17^2))^0.5)</f>
        <v>0.734434605486909</v>
      </c>
      <c r="Q73" s="52">
        <f t="shared" si="3"/>
        <v>11.332701717464339</v>
      </c>
      <c r="S73" s="323"/>
      <c r="T73" s="326">
        <f t="shared" si="4"/>
        <v>42.90851868049013</v>
      </c>
      <c r="U73" s="329">
        <f t="shared" si="5"/>
      </c>
      <c r="V73" s="324"/>
      <c r="W73" s="103"/>
    </row>
    <row r="74" spans="1:23" ht="12.75" customHeight="1">
      <c r="A74" s="447" t="s">
        <v>325</v>
      </c>
      <c r="B74" s="447"/>
      <c r="C74" s="447"/>
      <c r="D74" s="447"/>
      <c r="E74" s="423" t="s">
        <v>324</v>
      </c>
      <c r="F74" s="423" t="s">
        <v>110</v>
      </c>
      <c r="G74" s="448">
        <f>MAX(U71:U106)</f>
        <v>29000</v>
      </c>
      <c r="H74" s="410">
        <f>G74*0.3048</f>
        <v>8839.2</v>
      </c>
      <c r="I74" s="101">
        <f t="shared" si="1"/>
        <v>914.4000000000001</v>
      </c>
      <c r="J74" s="101">
        <v>3000</v>
      </c>
      <c r="K74" s="51">
        <f t="shared" si="2"/>
        <v>0.9151171446249962</v>
      </c>
      <c r="L74" s="51">
        <f t="shared" si="6"/>
        <v>1.1210185021656203</v>
      </c>
      <c r="M74" s="52">
        <f>Polars!$G$23*(K74-(1-K74)/7.55)</f>
        <v>52.42471417477292</v>
      </c>
      <c r="N74" s="52">
        <f>Polars!$G$46*($L$71/L74)^0.5</f>
        <v>25.748641245364897</v>
      </c>
      <c r="O74" s="52">
        <f>0.5*L74*N74^3*$Q$109*Polars!$G$13/1000</f>
        <v>8.447960040763729</v>
      </c>
      <c r="P74" s="40">
        <f>1.6/(1+(1+4*$Q$109*Polars!$G$13/(PI()*Polars!$G$17^2))^0.5)</f>
        <v>0.734434605486909</v>
      </c>
      <c r="Q74" s="52">
        <f t="shared" si="3"/>
        <v>11.502671548494062</v>
      </c>
      <c r="S74" s="323"/>
      <c r="T74" s="326">
        <f t="shared" si="4"/>
        <v>40.92204262627886</v>
      </c>
      <c r="U74" s="329">
        <f t="shared" si="5"/>
      </c>
      <c r="V74" s="324"/>
      <c r="W74" s="103"/>
    </row>
    <row r="75" spans="1:23" ht="12.75" customHeight="1">
      <c r="A75" s="447"/>
      <c r="B75" s="447"/>
      <c r="C75" s="447"/>
      <c r="D75" s="447"/>
      <c r="E75" s="423"/>
      <c r="F75" s="423"/>
      <c r="G75" s="448"/>
      <c r="H75" s="410"/>
      <c r="I75" s="101">
        <f t="shared" si="1"/>
        <v>1219.2</v>
      </c>
      <c r="J75" s="101">
        <v>4000</v>
      </c>
      <c r="K75" s="51">
        <f t="shared" si="2"/>
        <v>0.8880860986215449</v>
      </c>
      <c r="L75" s="51">
        <f t="shared" si="6"/>
        <v>1.0879054708113924</v>
      </c>
      <c r="M75" s="52">
        <f>Polars!$G$23*(K75-(1-K75)/7.55)</f>
        <v>50.64925778893034</v>
      </c>
      <c r="N75" s="52">
        <f>Polars!$G$46*($L$71/L75)^0.5</f>
        <v>26.137565022066</v>
      </c>
      <c r="O75" s="52">
        <f>0.5*L75*N75^3*$Q$109*Polars!$G$13/1000</f>
        <v>8.575563376922887</v>
      </c>
      <c r="P75" s="40">
        <f>1.6/(1+(1+4*$Q$109*Polars!$G$13/(PI()*Polars!$G$17^2))^0.5)</f>
        <v>0.734434605486909</v>
      </c>
      <c r="Q75" s="52">
        <f t="shared" si="3"/>
        <v>11.676415180950706</v>
      </c>
      <c r="S75" s="323"/>
      <c r="T75" s="326">
        <f t="shared" si="4"/>
        <v>38.972842607979636</v>
      </c>
      <c r="U75" s="329">
        <f t="shared" si="5"/>
      </c>
      <c r="V75" s="324"/>
      <c r="W75" s="103"/>
    </row>
    <row r="76" spans="1:23" ht="12.75" customHeight="1">
      <c r="A76" s="447"/>
      <c r="B76" s="447"/>
      <c r="C76" s="447"/>
      <c r="D76" s="447"/>
      <c r="E76" s="423"/>
      <c r="F76" s="423"/>
      <c r="G76" s="448"/>
      <c r="H76" s="410"/>
      <c r="I76" s="101">
        <f t="shared" si="1"/>
        <v>1524</v>
      </c>
      <c r="J76" s="101">
        <v>5000</v>
      </c>
      <c r="K76" s="51">
        <f t="shared" si="2"/>
        <v>0.8616701757945089</v>
      </c>
      <c r="L76" s="51">
        <f t="shared" si="6"/>
        <v>1.0555459653482735</v>
      </c>
      <c r="M76" s="52">
        <f>Polars!$G$23*(K76-(1-K76)/7.55)</f>
        <v>48.91420399688702</v>
      </c>
      <c r="N76" s="52">
        <f>Polars!$G$46*($L$71/L76)^0.5</f>
        <v>26.535185716104927</v>
      </c>
      <c r="O76" s="52">
        <f>0.5*L76*N76^3*$Q$109*Polars!$G$13/1000</f>
        <v>8.706020114527488</v>
      </c>
      <c r="P76" s="40">
        <f>1.6/(1+(1+4*$Q$109*Polars!$G$13/(PI()*Polars!$G$17^2))^0.5)</f>
        <v>0.734434605486909</v>
      </c>
      <c r="Q76" s="52">
        <f t="shared" si="3"/>
        <v>11.854043980887377</v>
      </c>
      <c r="S76" s="323"/>
      <c r="T76" s="326">
        <f t="shared" si="4"/>
        <v>37.06016001599964</v>
      </c>
      <c r="U76" s="329">
        <f t="shared" si="5"/>
      </c>
      <c r="V76" s="324"/>
      <c r="W76" s="103"/>
    </row>
    <row r="77" spans="9:23" ht="12.75" customHeight="1">
      <c r="I77" s="101">
        <f t="shared" si="1"/>
        <v>1828.8000000000002</v>
      </c>
      <c r="J77" s="101">
        <v>6000</v>
      </c>
      <c r="K77" s="51">
        <f t="shared" si="2"/>
        <v>0.8358596090714525</v>
      </c>
      <c r="L77" s="51">
        <f t="shared" si="6"/>
        <v>1.0239280211125295</v>
      </c>
      <c r="M77" s="52">
        <f>Polars!$G$23*(K77-(1-K77)/7.55)</f>
        <v>47.218911276626926</v>
      </c>
      <c r="N77" s="52">
        <f>Polars!$G$46*($L$71/L77)^0.5</f>
        <v>26.941761824142873</v>
      </c>
      <c r="O77" s="52">
        <f>0.5*L77*N77^3*$Q$109*Polars!$G$13/1000</f>
        <v>8.839415064633918</v>
      </c>
      <c r="P77" s="40">
        <f>1.6/(1+(1+4*$Q$109*Polars!$G$13/(PI()*Polars!$G$17^2))^0.5)</f>
        <v>0.734434605486909</v>
      </c>
      <c r="Q77" s="52">
        <f t="shared" si="3"/>
        <v>12.035673426327238</v>
      </c>
      <c r="S77" s="323"/>
      <c r="T77" s="326">
        <f t="shared" si="4"/>
        <v>35.18323785029969</v>
      </c>
      <c r="U77" s="329">
        <f t="shared" si="5"/>
      </c>
      <c r="V77" s="324"/>
      <c r="W77" s="103"/>
    </row>
    <row r="78" spans="9:23" ht="12.75" customHeight="1">
      <c r="I78" s="101">
        <f t="shared" si="1"/>
        <v>2133.6</v>
      </c>
      <c r="J78" s="101">
        <v>7000</v>
      </c>
      <c r="K78" s="51">
        <f t="shared" si="2"/>
        <v>0.8106447183312384</v>
      </c>
      <c r="L78" s="51">
        <f t="shared" si="6"/>
        <v>0.9930397799557671</v>
      </c>
      <c r="M78" s="52">
        <f>Polars!$G$23*(K78-(1-K78)/7.55)</f>
        <v>45.56274381727962</v>
      </c>
      <c r="N78" s="52">
        <f>Polars!$G$46*($L$71/L78)^0.5</f>
        <v>27.35756145653622</v>
      </c>
      <c r="O78" s="52">
        <f>0.5*L78*N78^3*$Q$109*Polars!$G$13/1000</f>
        <v>8.975836192488794</v>
      </c>
      <c r="P78" s="40">
        <f>1.6/(1+(1+4*$Q$109*Polars!$G$13/(PI()*Polars!$G$17^2))^0.5)</f>
        <v>0.734434605486909</v>
      </c>
      <c r="Q78" s="52">
        <f t="shared" si="3"/>
        <v>12.221423290012421</v>
      </c>
      <c r="S78" s="323"/>
      <c r="T78" s="326">
        <f t="shared" si="4"/>
        <v>33.3413205272672</v>
      </c>
      <c r="U78" s="329">
        <f t="shared" si="5"/>
      </c>
      <c r="V78" s="324"/>
      <c r="W78" s="103"/>
    </row>
    <row r="79" spans="9:23" ht="12.75" customHeight="1">
      <c r="I79" s="101">
        <f t="shared" si="1"/>
        <v>2438.4</v>
      </c>
      <c r="J79" s="101">
        <v>8000</v>
      </c>
      <c r="K79" s="51">
        <f t="shared" si="2"/>
        <v>0.7860159102451815</v>
      </c>
      <c r="L79" s="51">
        <f t="shared" si="6"/>
        <v>0.9628694900503474</v>
      </c>
      <c r="M79" s="52">
        <f>Polars!$G$23*(K79-(1-K79)/7.55)</f>
        <v>43.94507150868682</v>
      </c>
      <c r="N79" s="52">
        <f>Polars!$G$46*($L$71/L79)^0.5</f>
        <v>27.782862767720836</v>
      </c>
      <c r="O79" s="52">
        <f>0.5*L79*N79^3*$Q$109*Polars!$G$13/1000</f>
        <v>9.115374758735229</v>
      </c>
      <c r="P79" s="40">
        <f>1.6/(1+(1+4*$Q$109*Polars!$G$13/(PI()*Polars!$G$17^2))^0.5)</f>
        <v>0.734434605486909</v>
      </c>
      <c r="Q79" s="52">
        <f t="shared" si="3"/>
        <v>12.411417831669299</v>
      </c>
      <c r="S79" s="323"/>
      <c r="T79" s="326">
        <f t="shared" si="4"/>
        <v>31.533653677017526</v>
      </c>
      <c r="U79" s="329">
        <f t="shared" si="5"/>
      </c>
      <c r="V79" s="324"/>
      <c r="W79" s="103"/>
    </row>
    <row r="80" spans="9:23" ht="12.75" customHeight="1">
      <c r="I80" s="101">
        <f t="shared" si="1"/>
        <v>2743.2000000000003</v>
      </c>
      <c r="J80" s="101">
        <v>9000</v>
      </c>
      <c r="K80" s="51">
        <f t="shared" si="2"/>
        <v>0.7619636781173532</v>
      </c>
      <c r="L80" s="51">
        <f t="shared" si="6"/>
        <v>0.9334055056937578</v>
      </c>
      <c r="M80" s="52">
        <f>Polars!$G$23*(K80-(1-K80)/7.55)</f>
        <v>42.36526993091331</v>
      </c>
      <c r="N80" s="52">
        <f>Polars!$G$46*($L$71/L80)^0.5</f>
        <v>28.2179544091727</v>
      </c>
      <c r="O80" s="52">
        <f>0.5*L80*N80^3*$Q$109*Polars!$G$13/1000</f>
        <v>9.258125468026243</v>
      </c>
      <c r="P80" s="40">
        <f>1.6/(1+(1+4*$Q$109*Polars!$G$13/(PI()*Polars!$G$17^2))^0.5)</f>
        <v>0.734434605486909</v>
      </c>
      <c r="Q80" s="52">
        <f t="shared" si="3"/>
        <v>12.605786000359247</v>
      </c>
      <c r="S80" s="323"/>
      <c r="T80" s="326">
        <f t="shared" si="4"/>
        <v>29.75948393055406</v>
      </c>
      <c r="U80" s="329">
        <f t="shared" si="5"/>
      </c>
      <c r="V80" s="324"/>
      <c r="W80" s="103"/>
    </row>
    <row r="81" spans="9:23" ht="12.75" customHeight="1">
      <c r="I81" s="101">
        <f t="shared" si="1"/>
        <v>3048</v>
      </c>
      <c r="J81" s="101">
        <v>10000</v>
      </c>
      <c r="K81" s="51">
        <f t="shared" si="2"/>
        <v>0.7384786017240254</v>
      </c>
      <c r="L81" s="51">
        <f t="shared" si="6"/>
        <v>0.9046362871119311</v>
      </c>
      <c r="M81" s="52">
        <f>Polars!$G$23*(K81-(1-K81)/7.55)</f>
        <v>40.822720343701214</v>
      </c>
      <c r="N81" s="52">
        <f>Polars!$G$46*($L$71/L81)^0.5</f>
        <v>28.663136006305333</v>
      </c>
      <c r="O81" s="52">
        <f>0.5*L81*N81^3*$Q$109*Polars!$G$13/1000</f>
        <v>9.404186625491665</v>
      </c>
      <c r="P81" s="40">
        <f>1.6/(1+(1+4*$Q$109*Polars!$G$13/(PI()*Polars!$G$17^2))^0.5)</f>
        <v>0.734434605486909</v>
      </c>
      <c r="Q81" s="52">
        <f t="shared" si="3"/>
        <v>12.804661647522668</v>
      </c>
      <c r="S81" s="323"/>
      <c r="T81" s="326">
        <f aca="true" t="shared" si="7" ref="T81:T105">ABS(M81-Q81)</f>
        <v>28.018058696178546</v>
      </c>
      <c r="U81" s="329">
        <f t="shared" si="5"/>
      </c>
      <c r="V81" s="324"/>
      <c r="W81" s="103"/>
    </row>
    <row r="82" spans="9:23" ht="12.75" customHeight="1">
      <c r="I82" s="101">
        <f t="shared" si="1"/>
        <v>3352.8</v>
      </c>
      <c r="J82" s="101">
        <v>11000</v>
      </c>
      <c r="K82" s="51">
        <f t="shared" si="2"/>
        <v>0.7155513471522437</v>
      </c>
      <c r="L82" s="51">
        <f t="shared" si="6"/>
        <v>0.8765504002614986</v>
      </c>
      <c r="M82" s="52">
        <f>Polars!$G$23*(K82-(1-K82)/7.55)</f>
        <v>39.31680967586723</v>
      </c>
      <c r="N82" s="52">
        <f>Polars!$G$46*($L$71/L82)^0.5</f>
        <v>29.118718660757164</v>
      </c>
      <c r="O82" s="52">
        <f>0.5*L82*N82^3*$Q$109*Polars!$G$13/1000</f>
        <v>9.553660301535324</v>
      </c>
      <c r="P82" s="40">
        <f>1.6/(1+(1+4*$Q$109*Polars!$G$13/(PI()*Polars!$G$17^2))^0.5)</f>
        <v>0.734434605486909</v>
      </c>
      <c r="Q82" s="52">
        <f t="shared" si="3"/>
        <v>13.008183751365477</v>
      </c>
      <c r="S82" s="323"/>
      <c r="T82" s="326">
        <f t="shared" si="7"/>
        <v>26.308625924501754</v>
      </c>
      <c r="U82" s="329">
        <f t="shared" si="5"/>
      </c>
      <c r="V82" s="324"/>
      <c r="W82" s="103"/>
    </row>
    <row r="83" spans="9:23" ht="12.75" customHeight="1">
      <c r="I83" s="101">
        <f t="shared" si="1"/>
        <v>3657.6000000000004</v>
      </c>
      <c r="J83" s="101">
        <v>12000</v>
      </c>
      <c r="K83" s="51">
        <f t="shared" si="2"/>
        <v>0.6931726666375141</v>
      </c>
      <c r="L83" s="51">
        <f t="shared" si="6"/>
        <v>0.8491365166309548</v>
      </c>
      <c r="M83" s="52">
        <f>Polars!$G$23*(K83-(1-K83)/7.55)</f>
        <v>37.84693051464149</v>
      </c>
      <c r="N83" s="52">
        <f>Polars!$G$46*($L$71/L83)^0.5</f>
        <v>29.58502547962196</v>
      </c>
      <c r="O83" s="52">
        <f>0.5*L83*N83^3*$Q$109*Polars!$G$13/1000</f>
        <v>9.706652505472091</v>
      </c>
      <c r="P83" s="40">
        <f>1.6/(1+(1+4*$Q$109*Polars!$G$13/(PI()*Polars!$G$17^2))^0.5)</f>
        <v>0.734434605486909</v>
      </c>
      <c r="Q83" s="52">
        <f t="shared" si="3"/>
        <v>13.216496653281826</v>
      </c>
      <c r="S83" s="323"/>
      <c r="T83" s="326">
        <f t="shared" si="7"/>
        <v>24.630433861359666</v>
      </c>
      <c r="U83" s="329">
        <f t="shared" si="5"/>
      </c>
      <c r="V83" s="324"/>
      <c r="W83" s="103"/>
    </row>
    <row r="84" spans="9:23" ht="12.75" customHeight="1">
      <c r="I84" s="101">
        <f t="shared" si="1"/>
        <v>3962.4</v>
      </c>
      <c r="J84" s="101">
        <v>13000</v>
      </c>
      <c r="K84" s="51">
        <f t="shared" si="2"/>
        <v>0.6713333984006002</v>
      </c>
      <c r="L84" s="51">
        <f t="shared" si="6"/>
        <v>0.8223834130407354</v>
      </c>
      <c r="M84" s="52">
        <f>Polars!$G$23*(K84-(1-K84)/7.55)</f>
        <v>36.412481094948035</v>
      </c>
      <c r="N84" s="52">
        <f>Polars!$G$46*($L$71/L84)^0.5</f>
        <v>30.06239213328255</v>
      </c>
      <c r="O84" s="52">
        <f>0.5*L84*N84^3*$Q$109*Polars!$G$13/1000</f>
        <v>9.863273368549425</v>
      </c>
      <c r="P84" s="40">
        <f>1.6/(1+(1+4*$Q$109*Polars!$G$13/(PI()*Polars!$G$17^2))^0.5)</f>
        <v>0.734434605486909</v>
      </c>
      <c r="Q84" s="52">
        <f t="shared" si="3"/>
        <v>13.429750307054716</v>
      </c>
      <c r="S84" s="323"/>
      <c r="T84" s="326">
        <f t="shared" si="7"/>
        <v>22.982730787893317</v>
      </c>
      <c r="U84" s="329">
        <f t="shared" si="5"/>
      </c>
      <c r="V84" s="324"/>
      <c r="W84" s="103"/>
    </row>
    <row r="85" spans="9:23" ht="12.75" customHeight="1">
      <c r="I85" s="101">
        <f t="shared" si="1"/>
        <v>4267.2</v>
      </c>
      <c r="J85" s="101">
        <v>14000</v>
      </c>
      <c r="K85" s="51">
        <f t="shared" si="2"/>
        <v>0.6500244664834116</v>
      </c>
      <c r="L85" s="51">
        <f t="shared" si="6"/>
        <v>0.7962799714421793</v>
      </c>
      <c r="M85" s="52">
        <f>Polars!$G$23*(K85-(1-K85)/7.55)</f>
        <v>35.012865288625676</v>
      </c>
      <c r="N85" s="52">
        <f>Polars!$G$46*($L$71/L85)^0.5</f>
        <v>30.55116744362438</v>
      </c>
      <c r="O85" s="52">
        <f>0.5*L85*N85^3*$Q$109*Polars!$G$13/1000</f>
        <v>10.023637336936416</v>
      </c>
      <c r="P85" s="40">
        <f>1.6/(1+(1+4*$Q$109*Polars!$G$13/(PI()*Polars!$G$17^2))^0.5)</f>
        <v>0.734434605486909</v>
      </c>
      <c r="Q85" s="52">
        <f t="shared" si="3"/>
        <v>13.648100541628255</v>
      </c>
      <c r="S85" s="323"/>
      <c r="T85" s="326">
        <f t="shared" si="7"/>
        <v>21.364764746997423</v>
      </c>
      <c r="U85" s="329">
        <f t="shared" si="5"/>
      </c>
      <c r="V85" s="324"/>
      <c r="W85" s="103"/>
    </row>
    <row r="86" spans="7:23" ht="12.75" customHeight="1">
      <c r="G86" s="103"/>
      <c r="I86" s="101">
        <f t="shared" si="1"/>
        <v>4572</v>
      </c>
      <c r="J86" s="101">
        <v>15000</v>
      </c>
      <c r="K86" s="51">
        <f t="shared" si="2"/>
        <v>0.6292368805839751</v>
      </c>
      <c r="L86" s="51">
        <f t="shared" si="6"/>
        <v>0.7708151787153695</v>
      </c>
      <c r="M86" s="52">
        <f>Polars!$G$23*(K86-(1-K86)/7.55)</f>
        <v>33.64749259358851</v>
      </c>
      <c r="N86" s="52">
        <f>Polars!$G$46*($L$71/L86)^0.5</f>
        <v>31.051714004529842</v>
      </c>
      <c r="O86" s="52">
        <f>0.5*L86*N86^3*$Q$109*Polars!$G$13/1000</f>
        <v>10.187863375303866</v>
      </c>
      <c r="P86" s="40">
        <f>1.6/(1+(1+4*$Q$109*Polars!$G$13/(PI()*Polars!$G$17^2))^0.5)</f>
        <v>0.734434605486909</v>
      </c>
      <c r="Q86" s="52">
        <f t="shared" si="3"/>
        <v>13.871709338300592</v>
      </c>
      <c r="S86" s="323"/>
      <c r="T86" s="326">
        <f t="shared" si="7"/>
        <v>19.77578325528792</v>
      </c>
      <c r="U86" s="329">
        <f t="shared" si="5"/>
      </c>
      <c r="V86" s="324"/>
      <c r="W86" s="103"/>
    </row>
    <row r="87" spans="9:23" ht="12.75" customHeight="1">
      <c r="I87" s="101">
        <f t="shared" si="1"/>
        <v>4876.8</v>
      </c>
      <c r="J87" s="101">
        <v>16000</v>
      </c>
      <c r="K87" s="51">
        <f t="shared" si="2"/>
        <v>0.6089617358904771</v>
      </c>
      <c r="L87" s="51">
        <f t="shared" si="6"/>
        <v>0.7459781264658345</v>
      </c>
      <c r="M87" s="52">
        <f>Polars!$G$23*(K87-(1-K87)/7.55)</f>
        <v>32.31577812292551</v>
      </c>
      <c r="N87" s="52">
        <f>Polars!$G$46*($L$71/L87)^0.5</f>
        <v>31.564408836689196</v>
      </c>
      <c r="O87" s="52">
        <f>0.5*L87*N87^3*$Q$109*Polars!$G$13/1000</f>
        <v>10.356075181663474</v>
      </c>
      <c r="P87" s="40">
        <f>1.6/(1+(1+4*$Q$109*Polars!$G$13/(PI()*Polars!$G$17^2))^0.5)</f>
        <v>0.734434605486909</v>
      </c>
      <c r="Q87" s="52">
        <f t="shared" si="3"/>
        <v>14.100745123247147</v>
      </c>
      <c r="S87" s="323"/>
      <c r="T87" s="326">
        <f t="shared" si="7"/>
        <v>18.21503299967836</v>
      </c>
      <c r="U87" s="329">
        <f t="shared" si="5"/>
      </c>
      <c r="V87" s="324"/>
      <c r="W87" s="103"/>
    </row>
    <row r="88" spans="9:23" ht="12.75" customHeight="1">
      <c r="I88" s="101">
        <f t="shared" si="1"/>
        <v>5181.6</v>
      </c>
      <c r="J88" s="101">
        <v>17000</v>
      </c>
      <c r="K88" s="51">
        <f t="shared" si="2"/>
        <v>0.5891902129143617</v>
      </c>
      <c r="L88" s="51">
        <f t="shared" si="6"/>
        <v>0.7217580108200932</v>
      </c>
      <c r="M88" s="52">
        <f>Polars!$G$23*(K88-(1-K88)/7.55)</f>
        <v>31.017142593938008</v>
      </c>
      <c r="N88" s="52">
        <f>Polars!$G$46*($L$71/L88)^0.5</f>
        <v>32.08964407890915</v>
      </c>
      <c r="O88" s="52">
        <f>0.5*L88*N88^3*$Q$109*Polars!$G$13/1000</f>
        <v>10.528401414181626</v>
      </c>
      <c r="P88" s="40">
        <f>1.6/(1+(1+4*$Q$109*Polars!$G$13/(PI()*Polars!$G$17^2))^0.5)</f>
        <v>0.734434605486909</v>
      </c>
      <c r="Q88" s="52">
        <f t="shared" si="3"/>
        <v>14.33538307634837</v>
      </c>
      <c r="S88" s="323"/>
      <c r="T88" s="326">
        <f t="shared" si="7"/>
        <v>16.68175951758964</v>
      </c>
      <c r="U88" s="329">
        <f t="shared" si="5"/>
      </c>
      <c r="V88" s="324"/>
      <c r="W88" s="103"/>
    </row>
    <row r="89" spans="3:23" ht="12.75" customHeight="1">
      <c r="C89" s="103"/>
      <c r="D89" s="103"/>
      <c r="E89" s="103"/>
      <c r="F89" s="103"/>
      <c r="I89" s="101">
        <f t="shared" si="1"/>
        <v>5486.400000000001</v>
      </c>
      <c r="J89" s="101">
        <v>18000</v>
      </c>
      <c r="K89" s="51">
        <f t="shared" si="2"/>
        <v>0.569913577322476</v>
      </c>
      <c r="L89" s="51">
        <f t="shared" si="6"/>
        <v>0.6981441322200332</v>
      </c>
      <c r="M89" s="52">
        <f>Polars!$G$23*(K89-(1-K89)/7.55)</f>
        <v>29.751012317114686</v>
      </c>
      <c r="N89" s="52">
        <f>Polars!$G$46*($L$71/L89)^0.5</f>
        <v>32.62782771825701</v>
      </c>
      <c r="O89" s="52">
        <f>0.5*L89*N89^3*$Q$109*Polars!$G$13/1000</f>
        <v>10.704975930734875</v>
      </c>
      <c r="P89" s="40">
        <f>1.6/(1+(1+4*$Q$109*Polars!$G$13/(PI()*Polars!$G$17^2))^0.5)</f>
        <v>0.734434605486909</v>
      </c>
      <c r="Q89" s="52">
        <f t="shared" si="3"/>
        <v>14.575805457366465</v>
      </c>
      <c r="S89" s="323"/>
      <c r="T89" s="326">
        <f t="shared" si="7"/>
        <v>15.17520685974822</v>
      </c>
      <c r="U89" s="329">
        <f t="shared" si="5"/>
      </c>
      <c r="V89" s="324"/>
      <c r="W89" s="103"/>
    </row>
    <row r="90" spans="3:23" ht="12.75" customHeight="1">
      <c r="C90" s="103"/>
      <c r="F90" s="103"/>
      <c r="I90" s="101">
        <f t="shared" si="1"/>
        <v>5791.200000000001</v>
      </c>
      <c r="J90" s="101">
        <v>19000</v>
      </c>
      <c r="K90" s="51">
        <f t="shared" si="2"/>
        <v>0.5511231797682469</v>
      </c>
      <c r="L90" s="51">
        <f t="shared" si="6"/>
        <v>0.6751258952161024</v>
      </c>
      <c r="M90" s="52">
        <f>Polars!$G$23*(K90-(1-K90)/7.55)</f>
        <v>28.516819185042863</v>
      </c>
      <c r="N90" s="52">
        <f>Polars!$G$46*($L$71/L90)^0.5</f>
        <v>33.17938436154794</v>
      </c>
      <c r="O90" s="52">
        <f>0.5*L90*N90^3*$Q$109*Polars!$G$13/1000</f>
        <v>10.88593804202991</v>
      </c>
      <c r="P90" s="40">
        <f>1.6/(1+(1+4*$Q$109*Polars!$G$13/(PI()*Polars!$G$17^2))^0.5)</f>
        <v>0.734434605486909</v>
      </c>
      <c r="Q90" s="52">
        <f t="shared" si="3"/>
        <v>14.82220195059143</v>
      </c>
      <c r="S90" s="323"/>
      <c r="T90" s="326">
        <f t="shared" si="7"/>
        <v>13.694617234451433</v>
      </c>
      <c r="U90" s="329">
        <f t="shared" si="5"/>
      </c>
      <c r="V90" s="324"/>
      <c r="W90" s="103"/>
    </row>
    <row r="91" spans="3:23" ht="12.75" customHeight="1">
      <c r="C91" s="103"/>
      <c r="F91" s="103"/>
      <c r="I91" s="101">
        <f t="shared" si="1"/>
        <v>6096</v>
      </c>
      <c r="J91" s="101">
        <v>20000</v>
      </c>
      <c r="K91" s="51">
        <f t="shared" si="2"/>
        <v>0.5328104557218757</v>
      </c>
      <c r="L91" s="51">
        <f t="shared" si="6"/>
        <v>0.6526928082592978</v>
      </c>
      <c r="M91" s="52">
        <f>Polars!$G$23*(K91-(1-K91)/7.55)</f>
        <v>27.314000661255385</v>
      </c>
      <c r="N91" s="52">
        <f>Polars!$G$46*($L$71/L91)^0.5</f>
        <v>33.74475605086602</v>
      </c>
      <c r="O91" s="52">
        <f>0.5*L91*N91^3*$Q$109*Polars!$G$13/1000</f>
        <v>11.07143277917057</v>
      </c>
      <c r="P91" s="40">
        <f>1.6/(1+(1+4*$Q$109*Polars!$G$13/(PI()*Polars!$G$17^2))^0.5)</f>
        <v>0.734434605486909</v>
      </c>
      <c r="Q91" s="52">
        <f t="shared" si="3"/>
        <v>15.074770029158048</v>
      </c>
      <c r="S91" s="323"/>
      <c r="T91" s="326">
        <f t="shared" si="7"/>
        <v>12.239230632097337</v>
      </c>
      <c r="U91" s="329">
        <f t="shared" si="5"/>
      </c>
      <c r="V91" s="324"/>
      <c r="W91" s="103"/>
    </row>
    <row r="92" spans="3:23" ht="12.75" customHeight="1">
      <c r="C92" s="103"/>
      <c r="F92" s="103"/>
      <c r="I92" s="101">
        <f t="shared" si="1"/>
        <v>6400.8</v>
      </c>
      <c r="J92" s="101">
        <v>21000</v>
      </c>
      <c r="K92" s="51">
        <f t="shared" si="2"/>
        <v>0.5149669252995409</v>
      </c>
      <c r="L92" s="51">
        <f t="shared" si="6"/>
        <v>0.6308344834919377</v>
      </c>
      <c r="M92" s="52">
        <f>Polars!$G$23*(K92-(1-K92)/7.55)</f>
        <v>26.141999769012234</v>
      </c>
      <c r="N92" s="52">
        <f>Polars!$G$46*($L$71/L92)^0.5</f>
        <v>34.32440312600826</v>
      </c>
      <c r="O92" s="52">
        <f>0.5*L92*N92^3*$Q$109*Polars!$G$13/1000</f>
        <v>11.26161117662013</v>
      </c>
      <c r="P92" s="40">
        <f>1.6/(1+(1+4*$Q$109*Polars!$G$13/(PI()*Polars!$G$17^2))^0.5)</f>
        <v>0.734434605486909</v>
      </c>
      <c r="Q92" s="52">
        <f t="shared" si="3"/>
        <v>15.333715340324966</v>
      </c>
      <c r="S92" s="323"/>
      <c r="T92" s="326">
        <f t="shared" si="7"/>
        <v>10.808284428687267</v>
      </c>
      <c r="U92" s="329">
        <f t="shared" si="5"/>
      </c>
      <c r="V92" s="324"/>
      <c r="W92" s="103"/>
    </row>
    <row r="93" spans="3:23" ht="12.75" customHeight="1">
      <c r="C93" s="103"/>
      <c r="F93" s="103"/>
      <c r="I93" s="101">
        <f t="shared" si="1"/>
        <v>6705.6</v>
      </c>
      <c r="J93" s="101">
        <v>22000</v>
      </c>
      <c r="K93" s="51">
        <f t="shared" si="2"/>
        <v>0.4975841930915902</v>
      </c>
      <c r="L93" s="51">
        <f t="shared" si="6"/>
        <v>0.609540636537198</v>
      </c>
      <c r="M93" s="52">
        <f>Polars!$G$23*(K93-(1-K93)/7.55)</f>
        <v>25.00026508001584</v>
      </c>
      <c r="N93" s="52">
        <f>Polars!$G$46*($L$71/L93)^0.5</f>
        <v>34.918805136954916</v>
      </c>
      <c r="O93" s="52">
        <f>0.5*L93*N93^3*$Q$109*Polars!$G$13/1000</f>
        <v>11.456630571576785</v>
      </c>
      <c r="P93" s="40">
        <f>1.6/(1+(1+4*$Q$109*Polars!$G$13/(PI()*Polars!$G$17^2))^0.5)</f>
        <v>0.734434605486909</v>
      </c>
      <c r="Q93" s="52">
        <f t="shared" si="3"/>
        <v>15.599252113101844</v>
      </c>
      <c r="S93" s="323"/>
      <c r="T93" s="326">
        <f t="shared" si="7"/>
        <v>9.401012966913996</v>
      </c>
      <c r="U93" s="329">
        <f t="shared" si="5"/>
      </c>
      <c r="V93" s="324"/>
      <c r="W93" s="103"/>
    </row>
    <row r="94" spans="3:23" ht="12.75" customHeight="1">
      <c r="C94" s="103"/>
      <c r="D94" s="103"/>
      <c r="E94" s="103"/>
      <c r="F94" s="103"/>
      <c r="I94" s="101">
        <f t="shared" si="1"/>
        <v>7010.400000000001</v>
      </c>
      <c r="J94" s="101">
        <v>23000</v>
      </c>
      <c r="K94" s="51">
        <f t="shared" si="2"/>
        <v>0.4806539479897123</v>
      </c>
      <c r="L94" s="51">
        <f t="shared" si="6"/>
        <v>0.5888010862873976</v>
      </c>
      <c r="M94" s="52">
        <f>Polars!$G$23*(K94-(1-K94)/7.55)</f>
        <v>23.88825070305938</v>
      </c>
      <c r="N94" s="52">
        <f>Polars!$G$46*($L$71/L94)^0.5</f>
        <v>35.52846180970246</v>
      </c>
      <c r="O94" s="52">
        <f>0.5*L94*N94^3*$Q$109*Polars!$G$13/1000</f>
        <v>11.656654920857095</v>
      </c>
      <c r="P94" s="40">
        <f>1.6/(1+(1+4*$Q$109*Polars!$G$13/(PI()*Polars!$G$17^2))^0.5)</f>
        <v>0.734434605486909</v>
      </c>
      <c r="Q94" s="52">
        <f t="shared" si="3"/>
        <v>15.871603589715205</v>
      </c>
      <c r="S94" s="323"/>
      <c r="T94" s="326">
        <f t="shared" si="7"/>
        <v>8.016647113344176</v>
      </c>
      <c r="U94" s="329">
        <f t="shared" si="5"/>
      </c>
      <c r="V94" s="324"/>
      <c r="W94" s="103"/>
    </row>
    <row r="95" spans="3:23" ht="12.75" customHeight="1">
      <c r="C95" s="103"/>
      <c r="D95" s="103"/>
      <c r="E95" s="103"/>
      <c r="F95" s="103"/>
      <c r="I95" s="101">
        <f t="shared" si="1"/>
        <v>7315.200000000001</v>
      </c>
      <c r="J95" s="101">
        <v>24000</v>
      </c>
      <c r="K95" s="51">
        <f t="shared" si="2"/>
        <v>0.4641679630130702</v>
      </c>
      <c r="L95" s="51">
        <f t="shared" si="6"/>
        <v>0.568605754691011</v>
      </c>
      <c r="M95" s="52">
        <f>Polars!$G$23*(K95-(1-K95)/7.55)</f>
        <v>22.805416272606823</v>
      </c>
      <c r="N95" s="52">
        <f>Polars!$G$46*($L$71/L95)^0.5</f>
        <v>36.153894069046956</v>
      </c>
      <c r="O95" s="52">
        <f>0.5*L95*N95^3*$Q$109*Polars!$G$13/1000</f>
        <v>11.86185513646451</v>
      </c>
      <c r="P95" s="40">
        <f>1.6/(1+(1+4*$Q$109*Polars!$G$13/(PI()*Polars!$G$17^2))^0.5)</f>
        <v>0.734434605486909</v>
      </c>
      <c r="Q95" s="52">
        <f t="shared" si="3"/>
        <v>16.151002482515704</v>
      </c>
      <c r="S95" s="323"/>
      <c r="T95" s="326">
        <f t="shared" si="7"/>
        <v>6.6544137900911196</v>
      </c>
      <c r="U95" s="329">
        <f t="shared" si="5"/>
      </c>
      <c r="V95" s="324"/>
      <c r="W95" s="103"/>
    </row>
    <row r="96" spans="9:23" ht="12.75" customHeight="1">
      <c r="I96" s="101">
        <f t="shared" si="1"/>
        <v>7620</v>
      </c>
      <c r="J96" s="101">
        <v>25000</v>
      </c>
      <c r="K96" s="51">
        <f t="shared" si="2"/>
        <v>0.44811809513338463</v>
      </c>
      <c r="L96" s="51">
        <f t="shared" si="6"/>
        <v>0.5489446665383962</v>
      </c>
      <c r="M96" s="52">
        <f>Polars!$G$23*(K96-(1-K96)/7.55)</f>
        <v>21.751226937304033</v>
      </c>
      <c r="N96" s="52">
        <f>Polars!$G$46*($L$71/L96)^0.5</f>
        <v>36.795645122178975</v>
      </c>
      <c r="O96" s="52">
        <f>0.5*L96*N96^3*$Q$109*Polars!$G$13/1000</f>
        <v>12.072409441109741</v>
      </c>
      <c r="P96" s="40">
        <f>1.6/(1+(1+4*$Q$109*Polars!$G$13/(PI()*Polars!$G$17^2))^0.5)</f>
        <v>0.734434605486909</v>
      </c>
      <c r="Q96" s="52">
        <f t="shared" si="3"/>
        <v>16.43769145805171</v>
      </c>
      <c r="S96" s="323"/>
      <c r="T96" s="326">
        <f t="shared" si="7"/>
        <v>5.313535479252323</v>
      </c>
      <c r="U96" s="329">
        <f t="shared" si="5"/>
      </c>
      <c r="V96" s="324"/>
      <c r="W96" s="103"/>
    </row>
    <row r="97" spans="9:23" ht="12.75" customHeight="1">
      <c r="I97" s="101">
        <f t="shared" si="1"/>
        <v>7924.8</v>
      </c>
      <c r="J97" s="101">
        <v>26000</v>
      </c>
      <c r="K97" s="51">
        <f t="shared" si="2"/>
        <v>0.43249628509895105</v>
      </c>
      <c r="L97" s="51">
        <f t="shared" si="6"/>
        <v>0.5298079492462151</v>
      </c>
      <c r="M97" s="52">
        <f>Polars!$G$23*(K97-(1-K97)/7.55)</f>
        <v>20.725153348419845</v>
      </c>
      <c r="N97" s="52">
        <f>Polars!$G$46*($L$71/L97)^0.5</f>
        <v>37.45428160724765</v>
      </c>
      <c r="O97" s="52">
        <f>0.5*L97*N97^3*$Q$109*Polars!$G$13/1000</f>
        <v>12.288503745047072</v>
      </c>
      <c r="P97" s="40">
        <f>1.6/(1+(1+4*$Q$109*Polars!$G$13/(PI()*Polars!$G$17^2))^0.5)</f>
        <v>0.734434605486909</v>
      </c>
      <c r="Q97" s="52">
        <f t="shared" si="3"/>
        <v>16.73192365016644</v>
      </c>
      <c r="S97" s="323"/>
      <c r="T97" s="326">
        <f t="shared" si="7"/>
        <v>3.993229698253405</v>
      </c>
      <c r="U97" s="329">
        <f t="shared" si="5"/>
      </c>
      <c r="V97" s="324"/>
      <c r="W97" s="103"/>
    </row>
    <row r="98" spans="9:23" ht="12.75" customHeight="1">
      <c r="I98" s="101">
        <f t="shared" si="1"/>
        <v>8229.6</v>
      </c>
      <c r="J98" s="101">
        <v>27000</v>
      </c>
      <c r="K98" s="51">
        <f t="shared" si="2"/>
        <v>0.4172945572575738</v>
      </c>
      <c r="L98" s="51">
        <f t="shared" si="6"/>
        <v>0.511185832640528</v>
      </c>
      <c r="M98" s="52">
        <f>Polars!$G$23*(K98-(1-K98)/7.55)</f>
        <v>19.726671648216005</v>
      </c>
      <c r="N98" s="52">
        <f>Polars!$G$46*($L$71/L98)^0.5</f>
        <v>38.130394811373456</v>
      </c>
      <c r="O98" s="52">
        <f>0.5*L98*N98^3*$Q$109*Polars!$G$13/1000</f>
        <v>12.510332045696366</v>
      </c>
      <c r="P98" s="40">
        <f>1.6/(1+(1+4*$Q$109*Polars!$G$13/(PI()*Polars!$G$17^2))^0.5)</f>
        <v>0.734434605486909</v>
      </c>
      <c r="Q98" s="52">
        <f t="shared" si="3"/>
        <v>17.03396320411996</v>
      </c>
      <c r="S98" s="323"/>
      <c r="T98" s="326">
        <f t="shared" si="7"/>
        <v>2.692708444096045</v>
      </c>
      <c r="U98" s="329">
        <f t="shared" si="5"/>
      </c>
      <c r="V98" s="324"/>
      <c r="W98" s="103"/>
    </row>
    <row r="99" spans="9:23" ht="12.75" customHeight="1">
      <c r="I99" s="101">
        <f t="shared" si="1"/>
        <v>8534.4</v>
      </c>
      <c r="J99" s="101">
        <v>28000</v>
      </c>
      <c r="K99" s="51">
        <f t="shared" si="2"/>
        <v>0.4025050193784052</v>
      </c>
      <c r="L99" s="51">
        <f t="shared" si="6"/>
        <v>0.49306864873854644</v>
      </c>
      <c r="M99" s="52">
        <f>Polars!$G$23*(K99-(1-K99)/7.55)</f>
        <v>18.755263458245185</v>
      </c>
      <c r="N99" s="52">
        <f>Polars!$G$46*($L$71/L99)^0.5</f>
        <v>38.82460196293877</v>
      </c>
      <c r="O99" s="52">
        <f>0.5*L99*N99^3*$Q$109*Polars!$G$13/1000</f>
        <v>12.738096851635081</v>
      </c>
      <c r="P99" s="40">
        <f>1.6/(1+(1+4*$Q$109*Polars!$G$13/(PI()*Polars!$G$17^2))^0.5)</f>
        <v>0.734434605486909</v>
      </c>
      <c r="Q99" s="52">
        <f t="shared" si="3"/>
        <v>17.344085853893134</v>
      </c>
      <c r="S99" s="323"/>
      <c r="T99" s="326">
        <f t="shared" si="7"/>
        <v>1.4111776043520514</v>
      </c>
      <c r="U99" s="329">
        <f t="shared" si="5"/>
      </c>
      <c r="V99" s="324"/>
      <c r="W99" s="103"/>
    </row>
    <row r="100" spans="9:23" ht="12.75" customHeight="1">
      <c r="I100" s="101">
        <f t="shared" si="1"/>
        <v>8839.2</v>
      </c>
      <c r="J100" s="101">
        <v>29000</v>
      </c>
      <c r="K100" s="51">
        <f t="shared" si="2"/>
        <v>0.388119862472667</v>
      </c>
      <c r="L100" s="51">
        <f t="shared" si="6"/>
        <v>0.4754468315290171</v>
      </c>
      <c r="M100" s="52">
        <f>Polars!$G$23*(K100-(1-K100)/7.55)</f>
        <v>17.81041586757557</v>
      </c>
      <c r="N100" s="52">
        <f>Polars!$G$46*($L$71/L100)^0.5</f>
        <v>39.53754760336638</v>
      </c>
      <c r="O100" s="52">
        <f>0.5*L100*N100^3*$Q$109*Polars!$G$13/1000</f>
        <v>12.972009632669822</v>
      </c>
      <c r="P100" s="40">
        <f>1.6/(1+(1+4*$Q$109*Polars!$G$13/(PI()*Polars!$G$17^2))^0.5)</f>
        <v>0.734434605486909</v>
      </c>
      <c r="Q100" s="52">
        <f t="shared" si="3"/>
        <v>17.662579535001285</v>
      </c>
      <c r="S100" s="323"/>
      <c r="T100" s="326">
        <f t="shared" si="7"/>
        <v>0.1478363325742862</v>
      </c>
      <c r="U100" s="329">
        <f t="shared" si="5"/>
        <v>29000</v>
      </c>
      <c r="V100" s="324"/>
      <c r="W100" s="103"/>
    </row>
    <row r="101" spans="9:23" ht="12.75" customHeight="1">
      <c r="I101" s="101">
        <f t="shared" si="1"/>
        <v>9144</v>
      </c>
      <c r="J101" s="101">
        <v>30000</v>
      </c>
      <c r="K101" s="51">
        <f t="shared" si="2"/>
        <v>0.37413136061324753</v>
      </c>
      <c r="L101" s="51">
        <f t="shared" si="6"/>
        <v>0.45831091675122826</v>
      </c>
      <c r="M101" s="52">
        <f>Polars!$G$23*(K101-(1-K101)/7.55)</f>
        <v>16.891621420941647</v>
      </c>
      <c r="N101" s="52">
        <f>Polars!$G$46*($L$71/L101)^0.5</f>
        <v>40.2699050440089</v>
      </c>
      <c r="O101" s="52">
        <f>0.5*L101*N101^3*$Q$109*Polars!$G$13/1000</f>
        <v>13.212291297832163</v>
      </c>
      <c r="P101" s="40">
        <f>1.6/(1+(1+4*$Q$109*Polars!$G$13/(PI()*Polars!$G$17^2))^0.5)</f>
        <v>0.734434605486909</v>
      </c>
      <c r="Q101" s="52">
        <f t="shared" si="3"/>
        <v>17.989745035329314</v>
      </c>
      <c r="S101" s="323"/>
      <c r="T101" s="326">
        <f t="shared" si="7"/>
        <v>1.0981236143876671</v>
      </c>
      <c r="U101" s="329">
        <f t="shared" si="5"/>
      </c>
      <c r="V101" s="324"/>
      <c r="W101" s="103"/>
    </row>
    <row r="102" spans="8:23" ht="12.75">
      <c r="H102" s="129"/>
      <c r="I102" s="101">
        <f t="shared" si="1"/>
        <v>9448.800000000001</v>
      </c>
      <c r="J102" s="101">
        <v>31000</v>
      </c>
      <c r="K102" s="51">
        <f t="shared" si="2"/>
        <v>0.360531870753147</v>
      </c>
      <c r="L102" s="51">
        <f t="shared" si="6"/>
        <v>0.4416515416726051</v>
      </c>
      <c r="M102" s="52">
        <f>Polars!$G$23*(K102-(1-K102)/7.55)</f>
        <v>15.998378106819287</v>
      </c>
      <c r="N102" s="52">
        <f>Polars!$G$46*($L$71/L102)^0.5</f>
        <v>41.022377914224236</v>
      </c>
      <c r="O102" s="52">
        <f>0.5*L102*N102^3*$Q$109*Polars!$G$13/1000</f>
        <v>13.459172703292044</v>
      </c>
      <c r="P102" s="40">
        <f>1.6/(1+(1+4*$Q$109*Polars!$G$13/(PI()*Polars!$G$17^2))^0.5)</f>
        <v>0.734434605486909</v>
      </c>
      <c r="Q102" s="52">
        <f t="shared" si="3"/>
        <v>18.325896686702283</v>
      </c>
      <c r="S102" s="323"/>
      <c r="T102" s="326">
        <f t="shared" si="7"/>
        <v>2.3275185798829963</v>
      </c>
      <c r="U102" s="329">
        <f t="shared" si="5"/>
      </c>
      <c r="V102" s="324"/>
      <c r="W102" s="103"/>
    </row>
    <row r="103" spans="8:23" ht="12.75">
      <c r="H103" s="129"/>
      <c r="I103" s="101">
        <f t="shared" si="1"/>
        <v>9753.6</v>
      </c>
      <c r="J103" s="101">
        <v>32000</v>
      </c>
      <c r="K103" s="51">
        <f t="shared" si="2"/>
        <v>0.3473138325427618</v>
      </c>
      <c r="L103" s="51">
        <f t="shared" si="6"/>
        <v>0.42545944486488324</v>
      </c>
      <c r="M103" s="52">
        <f>Polars!$G$23*(K103-(1-K103)/7.55)</f>
        <v>15.130189345424581</v>
      </c>
      <c r="N103" s="52">
        <f>Polars!$G$46*($L$71/L103)^0.5</f>
        <v>41.795701807201915</v>
      </c>
      <c r="O103" s="52">
        <f>0.5*L103*N103^3*$Q$109*Polars!$G$13/1000</f>
        <v>13.712895192342584</v>
      </c>
      <c r="P103" s="40">
        <f>1.6/(1+(1+4*$Q$109*Polars!$G$13/(PI()*Polars!$G$17^2))^0.5)</f>
        <v>0.734434605486909</v>
      </c>
      <c r="Q103" s="52">
        <f t="shared" si="3"/>
        <v>18.67136310012425</v>
      </c>
      <c r="S103" s="323"/>
      <c r="T103" s="326">
        <f t="shared" si="7"/>
        <v>3.5411737546996687</v>
      </c>
      <c r="U103" s="329">
        <f t="shared" si="5"/>
      </c>
      <c r="V103" s="324"/>
      <c r="W103" s="103"/>
    </row>
    <row r="104" spans="8:23" ht="12.75">
      <c r="H104" s="129"/>
      <c r="I104" s="101">
        <f t="shared" si="1"/>
        <v>10058.4</v>
      </c>
      <c r="J104" s="101">
        <v>33000</v>
      </c>
      <c r="K104" s="51">
        <f t="shared" si="2"/>
        <v>0.33446976814598595</v>
      </c>
      <c r="L104" s="51">
        <f t="shared" si="6"/>
        <v>0.4097254659788328</v>
      </c>
      <c r="M104" s="52">
        <f>Polars!$G$23*(K104-(1-K104)/7.55)</f>
        <v>14.286563976635025</v>
      </c>
      <c r="N104" s="52">
        <f>Polars!$G$46*($L$71/L104)^0.5</f>
        <v>42.59064603064193</v>
      </c>
      <c r="O104" s="52">
        <f>0.5*L104*N104^3*$Q$109*Polars!$G$13/1000</f>
        <v>13.973711169786288</v>
      </c>
      <c r="P104" s="40">
        <f>1.6/(1+(1+4*$Q$109*Polars!$G$13/(PI()*Polars!$G$17^2))^0.5)</f>
        <v>0.734434605486909</v>
      </c>
      <c r="Q104" s="52">
        <f t="shared" si="3"/>
        <v>19.026487947857685</v>
      </c>
      <c r="S104" s="323"/>
      <c r="T104" s="326">
        <f t="shared" si="7"/>
        <v>4.739923971222661</v>
      </c>
      <c r="U104" s="329">
        <f t="shared" si="5"/>
      </c>
      <c r="V104" s="324"/>
      <c r="W104" s="103"/>
    </row>
    <row r="105" spans="8:23" ht="12.75">
      <c r="H105" s="129"/>
      <c r="I105" s="101">
        <f t="shared" si="1"/>
        <v>10363.2</v>
      </c>
      <c r="J105" s="101">
        <v>34000</v>
      </c>
      <c r="K105" s="51">
        <f t="shared" si="2"/>
        <v>0.32199228205511327</v>
      </c>
      <c r="L105" s="51">
        <f t="shared" si="6"/>
        <v>0.3944405455175138</v>
      </c>
      <c r="M105" s="52">
        <f>Polars!$G$23*(K105-(1-K105)/7.55)</f>
        <v>13.467016247831875</v>
      </c>
      <c r="N105" s="52">
        <f>Polars!$G$46*($L$71/L105)^0.5</f>
        <v>43.40801546997158</v>
      </c>
      <c r="O105" s="52">
        <f>0.5*L105*N105^3*$Q$109*Polars!$G$13/1000</f>
        <v>14.24188471324429</v>
      </c>
      <c r="P105" s="40">
        <f>1.6/(1+(1+4*$Q$109*Polars!$G$13/(PI()*Polars!$G$17^2))^0.5)</f>
        <v>0.734434605486909</v>
      </c>
      <c r="Q105" s="52">
        <f t="shared" si="3"/>
        <v>19.39163079577702</v>
      </c>
      <c r="S105" s="323"/>
      <c r="T105" s="326">
        <f t="shared" si="7"/>
        <v>5.9246145479451435</v>
      </c>
      <c r="U105" s="329">
        <f t="shared" si="5"/>
      </c>
      <c r="V105" s="324"/>
      <c r="W105" s="103"/>
    </row>
    <row r="106" spans="8:23" ht="12.75">
      <c r="H106" s="129"/>
      <c r="I106" s="101">
        <f t="shared" si="1"/>
        <v>10668</v>
      </c>
      <c r="J106" s="101">
        <v>35000</v>
      </c>
      <c r="K106" s="51">
        <f t="shared" si="2"/>
        <v>0.3098740609045218</v>
      </c>
      <c r="L106" s="51">
        <f t="shared" si="6"/>
        <v>0.37959572460803925</v>
      </c>
      <c r="M106" s="52">
        <f>Polars!$G$23*(K106-(1-K106)/7.55)</f>
        <v>12.671065801662564</v>
      </c>
      <c r="N106" s="52">
        <f>Polars!$G$46*($L$71/L106)^0.5</f>
        <v>44.24865257242453</v>
      </c>
      <c r="O106" s="52">
        <f>0.5*L106*N106^3*$Q$109*Polars!$G$13/1000</f>
        <v>14.517692224119616</v>
      </c>
      <c r="P106" s="40">
        <f>1.6/(1+(1+4*$Q$109*Polars!$G$13/(PI()*Polars!$G$17^2))^0.5)</f>
        <v>0.734434605486909</v>
      </c>
      <c r="Q106" s="52">
        <f t="shared" si="3"/>
        <v>19.76716798971476</v>
      </c>
      <c r="S106" s="323"/>
      <c r="T106" s="327">
        <f>ABS(M106-Q106)</f>
        <v>7.096102188052196</v>
      </c>
      <c r="U106" s="330">
        <f t="shared" si="5"/>
      </c>
      <c r="V106" s="324"/>
      <c r="W106" s="103"/>
    </row>
    <row r="107" spans="8:16" ht="12.75">
      <c r="H107" s="129"/>
      <c r="J107" s="129"/>
      <c r="K107" s="129"/>
      <c r="L107" s="130"/>
      <c r="M107" s="130"/>
      <c r="N107" s="130"/>
      <c r="O107" s="131"/>
      <c r="P107" s="130"/>
    </row>
    <row r="108" spans="8:17" ht="22.5">
      <c r="H108" s="129"/>
      <c r="I108" s="441" t="s">
        <v>108</v>
      </c>
      <c r="J108" s="442"/>
      <c r="K108" s="442"/>
      <c r="L108" s="442"/>
      <c r="M108" s="442"/>
      <c r="N108" s="443"/>
      <c r="O108" s="132" t="s">
        <v>254</v>
      </c>
      <c r="P108" s="123" t="s">
        <v>240</v>
      </c>
      <c r="Q108" s="123" t="s">
        <v>241</v>
      </c>
    </row>
    <row r="109" spans="8:17" ht="12.75">
      <c r="H109" s="129"/>
      <c r="I109" s="444"/>
      <c r="J109" s="445"/>
      <c r="K109" s="445"/>
      <c r="L109" s="445"/>
      <c r="M109" s="445"/>
      <c r="N109" s="446"/>
      <c r="O109" s="133">
        <f>6.8756*10^-6</f>
        <v>6.8756E-06</v>
      </c>
      <c r="P109" s="124">
        <f>2*Polars!$G$18*9.81/('Climb + Ceiling'!L71*'Climb + Ceiling'!N71^2*Polars!$G$13)</f>
        <v>1.1999272304442248</v>
      </c>
      <c r="Q109" s="124">
        <f>0.0118+P109^2/(PI()*16.32*0.793)</f>
        <v>0.04721331673161918</v>
      </c>
    </row>
    <row r="110" spans="8:16" ht="12.75">
      <c r="H110" s="129"/>
      <c r="I110" s="129"/>
      <c r="J110" s="129"/>
      <c r="K110" s="129"/>
      <c r="L110" s="130"/>
      <c r="M110" s="130"/>
      <c r="N110" s="130"/>
      <c r="O110" s="131"/>
      <c r="P110" s="130"/>
    </row>
    <row r="111" spans="8:11" ht="12.75">
      <c r="H111" s="129"/>
      <c r="I111" s="129"/>
      <c r="J111" s="129"/>
      <c r="K111" s="129"/>
    </row>
    <row r="112" spans="8:11" ht="12.75">
      <c r="H112" s="129"/>
      <c r="I112" s="129"/>
      <c r="J112" s="129"/>
      <c r="K112" s="129"/>
    </row>
    <row r="113" spans="8:16" ht="12.75">
      <c r="H113" s="129"/>
      <c r="I113" s="129"/>
      <c r="J113" s="129"/>
      <c r="K113" s="129"/>
      <c r="L113" s="130"/>
      <c r="M113" s="130"/>
      <c r="N113" s="130"/>
      <c r="O113" s="131"/>
      <c r="P113" s="130"/>
    </row>
    <row r="114" spans="8:16" ht="12.75">
      <c r="H114" s="129"/>
      <c r="I114" s="129"/>
      <c r="J114" s="129"/>
      <c r="K114" s="129"/>
      <c r="L114" s="130"/>
      <c r="M114" s="130"/>
      <c r="N114" s="130"/>
      <c r="O114" s="131"/>
      <c r="P114" s="130"/>
    </row>
    <row r="115" spans="8:16" ht="12.75">
      <c r="H115" s="129"/>
      <c r="I115" s="129"/>
      <c r="J115" s="129"/>
      <c r="K115" s="129"/>
      <c r="L115" s="130"/>
      <c r="M115" s="130"/>
      <c r="N115" s="130"/>
      <c r="O115" s="131"/>
      <c r="P115" s="130"/>
    </row>
    <row r="116" spans="8:16" ht="12.75">
      <c r="H116" s="129"/>
      <c r="I116" s="129"/>
      <c r="J116" s="129"/>
      <c r="K116" s="129"/>
      <c r="L116" s="130"/>
      <c r="M116" s="130"/>
      <c r="N116" s="130"/>
      <c r="O116" s="131"/>
      <c r="P116" s="130"/>
    </row>
    <row r="117" spans="8:16" ht="12.75">
      <c r="H117" s="129"/>
      <c r="I117" s="129"/>
      <c r="J117" s="129"/>
      <c r="K117" s="129"/>
      <c r="L117" s="130"/>
      <c r="M117" s="130"/>
      <c r="N117" s="130"/>
      <c r="O117" s="131"/>
      <c r="P117" s="130"/>
    </row>
    <row r="118" spans="8:16" ht="12.75">
      <c r="H118" s="129"/>
      <c r="I118" s="129"/>
      <c r="J118" s="129"/>
      <c r="K118" s="129"/>
      <c r="L118" s="130"/>
      <c r="M118" s="130"/>
      <c r="N118" s="130"/>
      <c r="O118" s="131"/>
      <c r="P118" s="130"/>
    </row>
    <row r="119" spans="8:16" ht="12.75">
      <c r="H119" s="129"/>
      <c r="I119" s="129"/>
      <c r="J119" s="129"/>
      <c r="K119" s="129"/>
      <c r="L119" s="130"/>
      <c r="M119" s="130"/>
      <c r="N119" s="130"/>
      <c r="O119" s="131"/>
      <c r="P119" s="130"/>
    </row>
    <row r="120" spans="8:16" ht="12.75">
      <c r="H120" s="129"/>
      <c r="I120" s="129"/>
      <c r="J120" s="129"/>
      <c r="K120" s="129"/>
      <c r="L120" s="130"/>
      <c r="M120" s="130"/>
      <c r="N120" s="130"/>
      <c r="O120" s="131"/>
      <c r="P120" s="130"/>
    </row>
    <row r="121" spans="8:16" ht="12.75">
      <c r="H121" s="129"/>
      <c r="I121" s="129"/>
      <c r="J121" s="129"/>
      <c r="K121" s="129"/>
      <c r="L121" s="130"/>
      <c r="M121" s="130"/>
      <c r="N121" s="130"/>
      <c r="O121" s="131"/>
      <c r="P121" s="130"/>
    </row>
    <row r="122" spans="8:16" ht="12.75">
      <c r="H122" s="129"/>
      <c r="I122" s="129"/>
      <c r="J122" s="129"/>
      <c r="K122" s="129"/>
      <c r="L122" s="130"/>
      <c r="M122" s="130"/>
      <c r="N122" s="130"/>
      <c r="O122" s="131"/>
      <c r="P122" s="130"/>
    </row>
    <row r="123" spans="8:16" ht="12.75">
      <c r="H123" s="129"/>
      <c r="I123" s="129"/>
      <c r="J123" s="129"/>
      <c r="K123" s="129"/>
      <c r="L123" s="130"/>
      <c r="M123" s="130"/>
      <c r="N123" s="130"/>
      <c r="O123" s="131"/>
      <c r="P123" s="130"/>
    </row>
    <row r="124" spans="8:16" ht="12.75">
      <c r="H124" s="129"/>
      <c r="I124" s="129"/>
      <c r="J124" s="129"/>
      <c r="K124" s="129"/>
      <c r="L124" s="130"/>
      <c r="M124" s="130"/>
      <c r="N124" s="130"/>
      <c r="O124" s="131"/>
      <c r="P124" s="130"/>
    </row>
    <row r="125" spans="8:16" ht="12.75">
      <c r="H125" s="129"/>
      <c r="I125" s="129"/>
      <c r="J125" s="129"/>
      <c r="K125" s="129"/>
      <c r="L125" s="130"/>
      <c r="M125" s="130"/>
      <c r="N125" s="130"/>
      <c r="O125" s="131"/>
      <c r="P125" s="130"/>
    </row>
    <row r="126" spans="8:16" ht="12.75">
      <c r="H126" s="129"/>
      <c r="I126" s="129"/>
      <c r="J126" s="129"/>
      <c r="K126" s="129"/>
      <c r="L126" s="130"/>
      <c r="M126" s="130"/>
      <c r="N126" s="130"/>
      <c r="O126" s="131"/>
      <c r="P126" s="130"/>
    </row>
    <row r="127" spans="8:16" ht="12.75">
      <c r="H127" s="129"/>
      <c r="I127" s="129"/>
      <c r="J127" s="129"/>
      <c r="K127" s="129"/>
      <c r="L127" s="130"/>
      <c r="M127" s="130"/>
      <c r="N127" s="130"/>
      <c r="O127" s="131"/>
      <c r="P127" s="130"/>
    </row>
    <row r="128" spans="8:16" ht="12.75">
      <c r="H128" s="129"/>
      <c r="I128" s="129"/>
      <c r="J128" s="129"/>
      <c r="K128" s="129"/>
      <c r="L128" s="130"/>
      <c r="M128" s="130"/>
      <c r="N128" s="130"/>
      <c r="O128" s="131"/>
      <c r="P128" s="130"/>
    </row>
    <row r="129" spans="8:16" ht="12.75">
      <c r="H129" s="129"/>
      <c r="I129" s="129"/>
      <c r="J129" s="129"/>
      <c r="K129" s="129"/>
      <c r="L129" s="130"/>
      <c r="M129" s="130"/>
      <c r="N129" s="130"/>
      <c r="O129" s="131"/>
      <c r="P129" s="130"/>
    </row>
    <row r="130" spans="8:16" ht="12.75">
      <c r="H130" s="129"/>
      <c r="I130" s="129"/>
      <c r="J130" s="129"/>
      <c r="K130" s="129"/>
      <c r="L130" s="130"/>
      <c r="M130" s="130"/>
      <c r="N130" s="130"/>
      <c r="O130" s="131"/>
      <c r="P130" s="130"/>
    </row>
    <row r="131" spans="8:16" ht="12.75">
      <c r="H131" s="129"/>
      <c r="I131" s="129"/>
      <c r="J131" s="129"/>
      <c r="K131" s="129"/>
      <c r="L131" s="130"/>
      <c r="M131" s="130"/>
      <c r="N131" s="130"/>
      <c r="O131" s="131"/>
      <c r="P131" s="130"/>
    </row>
  </sheetData>
  <sheetProtection/>
  <mergeCells count="29">
    <mergeCell ref="A13:D13"/>
    <mergeCell ref="I108:N109"/>
    <mergeCell ref="A73:D73"/>
    <mergeCell ref="A74:D76"/>
    <mergeCell ref="E74:E76"/>
    <mergeCell ref="F74:F76"/>
    <mergeCell ref="G74:G76"/>
    <mergeCell ref="H74:H76"/>
    <mergeCell ref="A63:E64"/>
    <mergeCell ref="H17:H19"/>
    <mergeCell ref="F9:F10"/>
    <mergeCell ref="G9:G10"/>
    <mergeCell ref="A2:M2"/>
    <mergeCell ref="A9:D10"/>
    <mergeCell ref="A4:D4"/>
    <mergeCell ref="A5:D5"/>
    <mergeCell ref="A6:D6"/>
    <mergeCell ref="A7:D7"/>
    <mergeCell ref="A8:D8"/>
    <mergeCell ref="A62:E62"/>
    <mergeCell ref="H9:H10"/>
    <mergeCell ref="A1:K1"/>
    <mergeCell ref="A17:D19"/>
    <mergeCell ref="E17:E19"/>
    <mergeCell ref="F17:F19"/>
    <mergeCell ref="G17:G19"/>
    <mergeCell ref="E13:F13"/>
    <mergeCell ref="A16:D16"/>
    <mergeCell ref="E9:E10"/>
  </mergeCells>
  <conditionalFormatting sqref="Q22:Q57">
    <cfRule type="cellIs" priority="1" dxfId="0" operator="equal" stopIfTrue="1">
      <formula>MAX($Q$27:$Q$47)</formula>
    </cfRule>
    <cfRule type="cellIs" priority="2" dxfId="0" operator="equal" stopIfTrue="1">
      <formula>MIN(ABS($Q$27:$Q$57))</formula>
    </cfRule>
  </conditionalFormatting>
  <printOptions/>
  <pageMargins left="0.787401575" right="0.787401575" top="0.984251969" bottom="0.984251969" header="0.4921259845" footer="0.4921259845"/>
  <pageSetup fitToHeight="1" fitToWidth="1" orientation="portrait" paperSize="9" scale="53" r:id="rId6"/>
  <drawing r:id="rId5"/>
  <legacyDrawing r:id="rId4"/>
  <oleObjects>
    <oleObject progId="Equation.DSMT4" shapeId="68335" r:id="rId1"/>
    <oleObject progId="Equation.DSMT4" shapeId="68336" r:id="rId2"/>
    <oleObject progId="Equation.DSMT4" shapeId="68337" r:id="rId3"/>
  </oleObjects>
</worksheet>
</file>

<file path=xl/worksheets/sheet5.xml><?xml version="1.0" encoding="utf-8"?>
<worksheet xmlns="http://schemas.openxmlformats.org/spreadsheetml/2006/main" xmlns:r="http://schemas.openxmlformats.org/officeDocument/2006/relationships">
  <sheetPr>
    <pageSetUpPr fitToPage="1"/>
  </sheetPr>
  <dimension ref="A1:Y72"/>
  <sheetViews>
    <sheetView zoomScalePageLayoutView="0" workbookViewId="0" topLeftCell="A1">
      <selection activeCell="A2" sqref="A2"/>
    </sheetView>
  </sheetViews>
  <sheetFormatPr defaultColWidth="11.421875" defaultRowHeight="12.75"/>
  <cols>
    <col min="1" max="1" width="6.00390625" style="3" customWidth="1"/>
    <col min="2" max="2" width="6.421875" style="3" bestFit="1" customWidth="1"/>
    <col min="3" max="3" width="6.28125" style="3" customWidth="1"/>
    <col min="4" max="4" width="4.421875" style="3" bestFit="1" customWidth="1"/>
    <col min="5" max="5" width="6.00390625" style="3" customWidth="1"/>
    <col min="6" max="6" width="6.421875" style="3" bestFit="1" customWidth="1"/>
    <col min="7" max="7" width="6.00390625" style="3" bestFit="1" customWidth="1"/>
    <col min="8" max="8" width="6.421875" style="3" bestFit="1" customWidth="1"/>
    <col min="9" max="9" width="6.57421875" style="3" bestFit="1" customWidth="1"/>
    <col min="10" max="10" width="4.421875" style="3" bestFit="1" customWidth="1"/>
    <col min="11" max="11" width="5.00390625" style="3" bestFit="1" customWidth="1"/>
    <col min="12" max="12" width="6.421875" style="3" bestFit="1" customWidth="1"/>
    <col min="13" max="13" width="5.7109375" style="3" customWidth="1"/>
    <col min="14" max="14" width="6.421875" style="3" bestFit="1" customWidth="1"/>
    <col min="15" max="15" width="6.57421875" style="3" bestFit="1" customWidth="1"/>
    <col min="16" max="16" width="4.421875" style="3" bestFit="1" customWidth="1"/>
    <col min="17" max="17" width="5.00390625" style="3" bestFit="1" customWidth="1"/>
    <col min="18" max="18" width="6.421875" style="3" bestFit="1" customWidth="1"/>
    <col min="19" max="19" width="6.00390625" style="3" customWidth="1"/>
    <col min="20" max="20" width="6.421875" style="3" bestFit="1" customWidth="1"/>
    <col min="21" max="21" width="6.57421875" style="3" bestFit="1" customWidth="1"/>
    <col min="22" max="22" width="4.421875" style="3" bestFit="1" customWidth="1"/>
    <col min="23" max="23" width="5.00390625" style="3" bestFit="1" customWidth="1"/>
    <col min="24" max="24" width="6.421875" style="3" bestFit="1" customWidth="1"/>
    <col min="25" max="25" width="5.57421875" style="3" customWidth="1"/>
    <col min="26" max="16384" width="11.421875" style="3" customWidth="1"/>
  </cols>
  <sheetData>
    <row r="1" spans="1:14" ht="18">
      <c r="A1" s="359" t="s">
        <v>142</v>
      </c>
      <c r="B1" s="359"/>
      <c r="C1" s="359"/>
      <c r="D1" s="359"/>
      <c r="E1" s="359"/>
      <c r="F1" s="359"/>
      <c r="G1" s="359"/>
      <c r="H1" s="359"/>
      <c r="I1" s="359"/>
      <c r="J1" s="359"/>
      <c r="K1" s="359"/>
      <c r="L1" s="359"/>
      <c r="M1" s="359"/>
      <c r="N1" s="359"/>
    </row>
    <row r="3" ht="13.5" thickBot="1"/>
    <row r="4" spans="1:25" ht="12.75">
      <c r="A4" s="451" t="s">
        <v>239</v>
      </c>
      <c r="B4" s="134" t="s">
        <v>109</v>
      </c>
      <c r="C4" s="135">
        <v>0</v>
      </c>
      <c r="D4" s="136" t="s">
        <v>110</v>
      </c>
      <c r="E4" s="137" t="s">
        <v>54</v>
      </c>
      <c r="F4" s="135">
        <v>1.225</v>
      </c>
      <c r="G4" s="138" t="s">
        <v>111</v>
      </c>
      <c r="H4" s="134" t="s">
        <v>109</v>
      </c>
      <c r="I4" s="135">
        <f>C4+2000</f>
        <v>2000</v>
      </c>
      <c r="J4" s="136" t="s">
        <v>110</v>
      </c>
      <c r="K4" s="137" t="s">
        <v>112</v>
      </c>
      <c r="L4" s="139">
        <f>(1-'Climb + Ceiling'!$O$109*'Thrust vs Drag'!I4)^4.25588</f>
        <v>0.9427731679866026</v>
      </c>
      <c r="M4" s="138"/>
      <c r="N4" s="134" t="s">
        <v>109</v>
      </c>
      <c r="O4" s="135">
        <f>I4+2000</f>
        <v>4000</v>
      </c>
      <c r="P4" s="136" t="s">
        <v>110</v>
      </c>
      <c r="Q4" s="137" t="s">
        <v>112</v>
      </c>
      <c r="R4" s="139">
        <f>(1-'Climb + Ceiling'!$O$109*'Thrust vs Drag'!O4)^4.25588</f>
        <v>0.8880860986215449</v>
      </c>
      <c r="S4" s="138"/>
      <c r="T4" s="134" t="s">
        <v>109</v>
      </c>
      <c r="U4" s="135">
        <f>O4+2000</f>
        <v>6000</v>
      </c>
      <c r="V4" s="136" t="s">
        <v>110</v>
      </c>
      <c r="W4" s="137" t="s">
        <v>112</v>
      </c>
      <c r="X4" s="139">
        <f>(1-'Climb + Ceiling'!$O$109*'Thrust vs Drag'!U4)^4.25588</f>
        <v>0.8358596090714525</v>
      </c>
      <c r="Y4" s="138"/>
    </row>
    <row r="5" spans="1:25" ht="23.25" thickBot="1">
      <c r="A5" s="452"/>
      <c r="B5" s="140" t="s">
        <v>240</v>
      </c>
      <c r="C5" s="141" t="s">
        <v>241</v>
      </c>
      <c r="D5" s="141" t="s">
        <v>238</v>
      </c>
      <c r="E5" s="141" t="s">
        <v>243</v>
      </c>
      <c r="F5" s="141" t="s">
        <v>257</v>
      </c>
      <c r="G5" s="142" t="s">
        <v>242</v>
      </c>
      <c r="H5" s="140" t="s">
        <v>240</v>
      </c>
      <c r="I5" s="141" t="s">
        <v>241</v>
      </c>
      <c r="J5" s="141" t="s">
        <v>238</v>
      </c>
      <c r="K5" s="141" t="s">
        <v>243</v>
      </c>
      <c r="L5" s="141" t="s">
        <v>257</v>
      </c>
      <c r="M5" s="142" t="s">
        <v>242</v>
      </c>
      <c r="N5" s="140" t="s">
        <v>240</v>
      </c>
      <c r="O5" s="141" t="s">
        <v>241</v>
      </c>
      <c r="P5" s="141" t="s">
        <v>238</v>
      </c>
      <c r="Q5" s="141" t="s">
        <v>243</v>
      </c>
      <c r="R5" s="141" t="s">
        <v>257</v>
      </c>
      <c r="S5" s="142" t="s">
        <v>242</v>
      </c>
      <c r="T5" s="140" t="s">
        <v>240</v>
      </c>
      <c r="U5" s="141" t="s">
        <v>241</v>
      </c>
      <c r="V5" s="141" t="s">
        <v>238</v>
      </c>
      <c r="W5" s="141" t="s">
        <v>243</v>
      </c>
      <c r="X5" s="141" t="s">
        <v>257</v>
      </c>
      <c r="Y5" s="142" t="s">
        <v>242</v>
      </c>
    </row>
    <row r="6" spans="1:25" ht="9" customHeight="1">
      <c r="A6" s="143">
        <v>20</v>
      </c>
      <c r="B6" s="144">
        <f>2*Polars!$G$18*9.81/(F4*'Thrust vs Drag'!$A6^2*Polars!$G$13)</f>
        <v>1.8200371057513915</v>
      </c>
      <c r="C6" s="145">
        <f>Polars!$G$19+'Thrust vs Drag'!B6^2/(PI()*Polars!$G$24*Polars!$G$28)</f>
        <v>0.09324303103598748</v>
      </c>
      <c r="D6" s="146">
        <f>1.6/(1+(1+4*C6*Polars!$G$13/(PI()*Polars!$G$17^2))^0.5)</f>
        <v>0.6867736447089975</v>
      </c>
      <c r="E6" s="147">
        <f>Polars!$G$23*'Thrust vs Drag'!D6</f>
        <v>39.832871393121856</v>
      </c>
      <c r="F6" s="148">
        <f>0.5*1.225*$A6^2*C6*Polars!$G$13</f>
        <v>427.1929466913767</v>
      </c>
      <c r="G6" s="149">
        <f aca="true" t="shared" si="0" ref="G6:G36">F6*$A6/1000</f>
        <v>8.543858933827535</v>
      </c>
      <c r="H6" s="144">
        <f>2*Polars!$G$18*9.81/(L$4*$F$4*'Thrust vs Drag'!$A6^2*Polars!$G$13)</f>
        <v>1.9305143247110905</v>
      </c>
      <c r="I6" s="145">
        <f>Polars!$G$19+'Thrust vs Drag'!H6^2/(PI()*Polars!$G$24*Polars!$G$28)</f>
        <v>0.10343038279886459</v>
      </c>
      <c r="J6" s="146">
        <f>1.6/(1+(1+4*I6*Polars!$G$13/(PI()*Polars!$G$17^2))^0.5)</f>
        <v>0.6776998861179264</v>
      </c>
      <c r="K6" s="147">
        <f>Polars!$G$23*'Thrust vs Drag'!J6*(L$4-(1-L$4)/7.55)</f>
        <v>36.75926888659109</v>
      </c>
      <c r="L6" s="148">
        <f>0.5*L$4*$F$4*$A6^2*I6*Polars!$G$13</f>
        <v>446.7484317151608</v>
      </c>
      <c r="M6" s="149">
        <f aca="true" t="shared" si="1" ref="M6:M36">L6*$A6/1000</f>
        <v>8.934968634303216</v>
      </c>
      <c r="N6" s="144">
        <f>2*Polars!$G$18*9.81/(R$4*$F$4*'Thrust vs Drag'!$A6^2*Polars!$G$13)</f>
        <v>2.0493926304852508</v>
      </c>
      <c r="O6" s="145">
        <f>Polars!$G$19+'Thrust vs Drag'!N6^2/(PI()*Polars!$G$24*Polars!$G$28)</f>
        <v>0.11506277321355138</v>
      </c>
      <c r="P6" s="146">
        <f>1.6/(1+(1+4*O6*Polars!$G$13/(PI()*Polars!$G$17^2))^0.5)</f>
        <v>0.6678653834186297</v>
      </c>
      <c r="Q6" s="147">
        <f>Polars!$G$23*'Thrust vs Drag'!P6*(R$4-(1-R$4)/7.55)</f>
        <v>33.82688597307298</v>
      </c>
      <c r="R6" s="148">
        <f>0.5*R$4*$F$4*$A6^2*O6*Polars!$G$13</f>
        <v>468.1635525419165</v>
      </c>
      <c r="S6" s="149">
        <f aca="true" t="shared" si="2" ref="S6:S36">R6*$A6/1000</f>
        <v>9.36327105083833</v>
      </c>
      <c r="T6" s="144">
        <f>2*Polars!$G$18*9.81/(X$4*$F$4*'Thrust vs Drag'!$A6^2*Polars!$G$13)</f>
        <v>2.1774435395595333</v>
      </c>
      <c r="U6" s="145">
        <f>Polars!$G$19+'Thrust vs Drag'!T6^2/(PI()*Polars!$G$24*Polars!$G$28)</f>
        <v>0.1283701215438493</v>
      </c>
      <c r="V6" s="146">
        <f>1.6/(1+(1+4*U6*Polars!$G$13/(PI()*Polars!$G$17^2))^0.5)</f>
        <v>0.6572378707954663</v>
      </c>
      <c r="W6" s="147">
        <f>Polars!$G$23*'Thrust vs Drag'!V6*(X$4-(1-X$4)/7.55)</f>
        <v>31.03405670873031</v>
      </c>
      <c r="X6" s="148">
        <f>0.5*X$4*$F$4*$A6^2*U6*Polars!$G$13</f>
        <v>491.59219931365817</v>
      </c>
      <c r="Y6" s="149">
        <f aca="true" t="shared" si="3" ref="Y6:Y36">X6*$A6/1000</f>
        <v>9.831843986273164</v>
      </c>
    </row>
    <row r="7" spans="1:25" ht="9" customHeight="1">
      <c r="A7" s="150">
        <v>22</v>
      </c>
      <c r="B7" s="151">
        <f>2*Polars!$G$18*9.81/(F$4*'Thrust vs Drag'!$A7^2*Polars!$G$13)</f>
        <v>1.5041628973151995</v>
      </c>
      <c r="C7" s="54">
        <f>Polars!$G$19+'Thrust vs Drag'!B7^2/(PI()*Polars!$G$24*Polars!$G$28)</f>
        <v>0.06742668604329449</v>
      </c>
      <c r="D7" s="53">
        <f>1.6/(1+(1+4*C7*Polars!$G$13/(PI()*Polars!$G$17^2))^0.5)</f>
        <v>0.711997882341493</v>
      </c>
      <c r="E7" s="52">
        <f>Polars!$G$23*'Thrust vs Drag'!D7</f>
        <v>41.295877175806595</v>
      </c>
      <c r="F7" s="50">
        <f>0.5*1.225*$A7^2*C7*Polars!$G$13</f>
        <v>373.78758814989806</v>
      </c>
      <c r="G7" s="152">
        <f t="shared" si="0"/>
        <v>8.223326939297756</v>
      </c>
      <c r="H7" s="151">
        <f>2*Polars!$G$18*9.81/(L$4*$F$4*'Thrust vs Drag'!$A7^2*Polars!$G$13)</f>
        <v>1.5954663840587524</v>
      </c>
      <c r="I7" s="54">
        <f>Polars!$G$19+'Thrust vs Drag'!H7^2/(PI()*Polars!$G$24*Polars!$G$28)</f>
        <v>0.07438478437187664</v>
      </c>
      <c r="J7" s="53">
        <f>1.6/(1+(1+4*I7*Polars!$G$13/(PI()*Polars!$G$17^2))^0.5)</f>
        <v>0.7048547219693988</v>
      </c>
      <c r="K7" s="52">
        <f>Polars!$G$23*'Thrust vs Drag'!J7*(L$4-(1-L$4)/7.55)</f>
        <v>38.232180322881085</v>
      </c>
      <c r="L7" s="50">
        <f>0.5*L$4*$F$4*$A7^2*I7*Polars!$G$13</f>
        <v>388.7625152634069</v>
      </c>
      <c r="M7" s="152">
        <f t="shared" si="1"/>
        <v>8.552775335794951</v>
      </c>
      <c r="N7" s="151">
        <f>2*Polars!$G$18*9.81/(R$4*$F$4*'Thrust vs Drag'!$A7^2*Polars!$G$13)</f>
        <v>1.6937129177564056</v>
      </c>
      <c r="O7" s="54">
        <f>Polars!$G$19+'Thrust vs Drag'!N7^2/(PI()*Polars!$G$24*Polars!$G$28)</f>
        <v>0.0823298635431674</v>
      </c>
      <c r="P7" s="53">
        <f>1.6/(1+(1+4*O7*Polars!$G$13/(PI()*Polars!$G$17^2))^0.5)</f>
        <v>0.6970202028620707</v>
      </c>
      <c r="Q7" s="52">
        <f>Polars!$G$23*'Thrust vs Drag'!P7*(R$4-(1-R$4)/7.55)</f>
        <v>35.30355593885354</v>
      </c>
      <c r="R7" s="50">
        <f>0.5*R$4*$F$4*$A7^2*O7*Polars!$G$13</f>
        <v>405.3269948865306</v>
      </c>
      <c r="S7" s="152">
        <f t="shared" si="2"/>
        <v>8.917193887503673</v>
      </c>
      <c r="T7" s="151">
        <f>2*Polars!$G$18*9.81/(X$4*$F$4*'Thrust vs Drag'!$A7^2*Polars!$G$13)</f>
        <v>1.7995401153384571</v>
      </c>
      <c r="U7" s="54">
        <f>Polars!$G$19+'Thrust vs Drag'!T7^2/(PI()*Polars!$G$24*Polars!$G$28)</f>
        <v>0.09141896150799078</v>
      </c>
      <c r="V7" s="53">
        <f>1.6/(1+(1+4*U7*Polars!$G$13/(PI()*Polars!$G$17^2))^0.5)</f>
        <v>0.6884470083618202</v>
      </c>
      <c r="W7" s="52">
        <f>Polars!$G$23*'Thrust vs Drag'!V7*(X$4-(1-X$4)/7.55)</f>
        <v>32.50771820649602</v>
      </c>
      <c r="X7" s="50">
        <f>0.5*X$4*$F$4*$A7^2*U7*Polars!$G$13</f>
        <v>423.60656705394337</v>
      </c>
      <c r="Y7" s="152">
        <f t="shared" si="3"/>
        <v>9.319344475186753</v>
      </c>
    </row>
    <row r="8" spans="1:25" ht="9" customHeight="1">
      <c r="A8" s="150">
        <v>24</v>
      </c>
      <c r="B8" s="151">
        <f>2*Polars!$G$18*9.81/(F$4*'Thrust vs Drag'!$A8^2*Polars!$G$13)</f>
        <v>1.2639146567717996</v>
      </c>
      <c r="C8" s="54">
        <f>Polars!$G$19+'Thrust vs Drag'!B8^2/(PI()*Polars!$G$24*Polars!$G$28)</f>
        <v>0.05107615308448469</v>
      </c>
      <c r="D8" s="53">
        <f>1.6/(1+(1+4*C8*Polars!$G$13/(PI()*Polars!$G$17^2))^0.5)</f>
        <v>0.7299364435482085</v>
      </c>
      <c r="E8" s="52">
        <f>Polars!$G$23*'Thrust vs Drag'!D8</f>
        <v>42.336313725796096</v>
      </c>
      <c r="F8" s="50">
        <f>0.5*1.225*$A8^2*C8*Polars!$G$13</f>
        <v>336.9677693134559</v>
      </c>
      <c r="G8" s="152">
        <f t="shared" si="0"/>
        <v>8.087226463522942</v>
      </c>
      <c r="H8" s="151">
        <f>2*Polars!$G$18*9.81/(L$4*$F$4*'Thrust vs Drag'!$A8^2*Polars!$G$13)</f>
        <v>1.3406349477160349</v>
      </c>
      <c r="I8" s="54">
        <f>Polars!$G$19+'Thrust vs Drag'!H8^2/(PI()*Polars!$G$24*Polars!$G$28)</f>
        <v>0.05598903491457589</v>
      </c>
      <c r="J8" s="53">
        <f>1.6/(1+(1+4*I8*Polars!$G$13/(PI()*Polars!$G$17^2))^0.5)</f>
        <v>0.7243651454923093</v>
      </c>
      <c r="K8" s="52">
        <f>Polars!$G$23*'Thrust vs Drag'!J8*(L$4-(1-L$4)/7.55)</f>
        <v>39.29044950524471</v>
      </c>
      <c r="L8" s="50">
        <f>0.5*L$4*$F$4*$A8^2*I8*Polars!$G$13</f>
        <v>348.24138251099765</v>
      </c>
      <c r="M8" s="152">
        <f t="shared" si="1"/>
        <v>8.357793180263943</v>
      </c>
      <c r="N8" s="151">
        <f>2*Polars!$G$18*9.81/(R$4*$F$4*'Thrust vs Drag'!$A8^2*Polars!$G$13)</f>
        <v>1.4231893267258684</v>
      </c>
      <c r="O8" s="54">
        <f>Polars!$G$19+'Thrust vs Drag'!N8^2/(PI()*Polars!$G$24*Polars!$G$28)</f>
        <v>0.06159879109449814</v>
      </c>
      <c r="P8" s="53">
        <f>1.6/(1+(1+4*O8*Polars!$G$13/(PI()*Polars!$G$17^2))^0.5)</f>
        <v>0.7181979150262292</v>
      </c>
      <c r="Q8" s="52">
        <f>Polars!$G$23*'Thrust vs Drag'!P8*(R$4-(1-R$4)/7.55)</f>
        <v>36.37619134163577</v>
      </c>
      <c r="R8" s="50">
        <f>0.5*R$4*$F$4*$A8^2*O8*Polars!$G$13</f>
        <v>360.9087771358822</v>
      </c>
      <c r="S8" s="152">
        <f t="shared" si="2"/>
        <v>8.661810651261172</v>
      </c>
      <c r="T8" s="151">
        <f>2*Polars!$G$18*9.81/(X$4*$F$4*'Thrust vs Drag'!$A8^2*Polars!$G$13)</f>
        <v>1.5121135691385648</v>
      </c>
      <c r="U8" s="54">
        <f>Polars!$G$19+'Thrust vs Drag'!T8^2/(PI()*Polars!$G$24*Polars!$G$28)</f>
        <v>0.06801630089884708</v>
      </c>
      <c r="V8" s="53">
        <f>1.6/(1+(1+4*U8*Polars!$G$13/(PI()*Polars!$G$17^2))^0.5)</f>
        <v>0.7113818835480706</v>
      </c>
      <c r="W8" s="52">
        <f>Polars!$G$23*'Thrust vs Drag'!V8*(X$4-(1-X$4)/7.55)</f>
        <v>33.5906780430561</v>
      </c>
      <c r="X8" s="50">
        <f>0.5*X$4*$F$4*$A8^2*U8*Polars!$G$13</f>
        <v>375.073629798943</v>
      </c>
      <c r="Y8" s="152">
        <f t="shared" si="3"/>
        <v>9.001767115174633</v>
      </c>
    </row>
    <row r="9" spans="1:25" ht="9" customHeight="1">
      <c r="A9" s="150">
        <v>26</v>
      </c>
      <c r="B9" s="151">
        <f>2*Polars!$G$18*9.81/(F$4*'Thrust vs Drag'!$A9^2*Polars!$G$13)</f>
        <v>1.0769450329889891</v>
      </c>
      <c r="C9" s="54">
        <f>Polars!$G$19+'Thrust vs Drag'!B9^2/(PI()*Polars!$G$24*Polars!$G$28)</f>
        <v>0.04031546900878383</v>
      </c>
      <c r="D9" s="53">
        <f>1.6/(1+(1+4*C9*Polars!$G$13/(PI()*Polars!$G$17^2))^0.5)</f>
        <v>0.7427402394812406</v>
      </c>
      <c r="E9" s="52">
        <f>Polars!$G$23*'Thrust vs Drag'!D9</f>
        <v>43.07893388991195</v>
      </c>
      <c r="F9" s="50">
        <f>0.5*1.225*$A9^2*C9*Polars!$G$13</f>
        <v>312.1519929357259</v>
      </c>
      <c r="G9" s="152">
        <f t="shared" si="0"/>
        <v>8.115951816328874</v>
      </c>
      <c r="H9" s="151">
        <f>2*Polars!$G$18*9.81/(L$4*$F$4*'Thrust vs Drag'!$A9^2*Polars!$G$13)</f>
        <v>1.1423161684681007</v>
      </c>
      <c r="I9" s="54">
        <f>Polars!$G$19+'Thrust vs Drag'!H9^2/(PI()*Polars!$G$24*Polars!$G$28)</f>
        <v>0.04388234403517543</v>
      </c>
      <c r="J9" s="53">
        <f>1.6/(1+(1+4*I9*Polars!$G$13/(PI()*Polars!$G$17^2))^0.5)</f>
        <v>0.7384004393180085</v>
      </c>
      <c r="K9" s="52">
        <f>Polars!$G$23*'Thrust vs Drag'!J9*(L$4-(1-L$4)/7.55)</f>
        <v>40.0517409709945</v>
      </c>
      <c r="L9" s="50">
        <f>0.5*L$4*$F$4*$A9^2*I9*Polars!$G$13</f>
        <v>320.32543689547583</v>
      </c>
      <c r="M9" s="152">
        <f t="shared" si="1"/>
        <v>8.328461359282372</v>
      </c>
      <c r="N9" s="151">
        <f>2*Polars!$G$18*9.81/(R$4*$F$4*'Thrust vs Drag'!$A9^2*Polars!$G$13)</f>
        <v>1.2126583612338762</v>
      </c>
      <c r="O9" s="54">
        <f>Polars!$G$19+'Thrust vs Drag'!N9^2/(PI()*Polars!$G$24*Polars!$G$28)</f>
        <v>0.047955167260793165</v>
      </c>
      <c r="P9" s="53">
        <f>1.6/(1+(1+4*O9*Polars!$G$13/(PI()*Polars!$G$17^2))^0.5)</f>
        <v>0.7335624642314544</v>
      </c>
      <c r="Q9" s="52">
        <f>Polars!$G$23*'Thrust vs Drag'!P9*(R$4-(1-R$4)/7.55)</f>
        <v>37.15439435514193</v>
      </c>
      <c r="R9" s="50">
        <f>0.5*R$4*$F$4*$A9^2*O9*Polars!$G$13</f>
        <v>329.7500557347851</v>
      </c>
      <c r="S9" s="152">
        <f t="shared" si="2"/>
        <v>8.573501449104413</v>
      </c>
      <c r="T9" s="151">
        <f>2*Polars!$G$18*9.81/(X$4*$F$4*'Thrust vs Drag'!$A9^2*Polars!$G$13)</f>
        <v>1.2884281299168836</v>
      </c>
      <c r="U9" s="54">
        <f>Polars!$G$19+'Thrust vs Drag'!T9^2/(PI()*Polars!$G$24*Polars!$G$28)</f>
        <v>0.05261443981087823</v>
      </c>
      <c r="V9" s="53">
        <f>1.6/(1+(1+4*U9*Polars!$G$13/(PI()*Polars!$G$17^2))^0.5)</f>
        <v>0.7281743439774977</v>
      </c>
      <c r="W9" s="52">
        <f>Polars!$G$23*'Thrust vs Drag'!V9*(X$4-(1-X$4)/7.55)</f>
        <v>34.38359974218948</v>
      </c>
      <c r="X9" s="50">
        <f>0.5*X$4*$F$4*$A9^2*U9*Polars!$G$13</f>
        <v>340.51220722052244</v>
      </c>
      <c r="Y9" s="152">
        <f t="shared" si="3"/>
        <v>8.853317387733583</v>
      </c>
    </row>
    <row r="10" spans="1:25" ht="9" customHeight="1">
      <c r="A10" s="150">
        <v>28</v>
      </c>
      <c r="B10" s="151">
        <f>2*Polars!$G$18*9.81/(F$4*'Thrust vs Drag'!$A10^2*Polars!$G$13)</f>
        <v>0.9285903600772406</v>
      </c>
      <c r="C10" s="54">
        <f>Polars!$G$19+'Thrust vs Drag'!B10^2/(PI()*Polars!$G$24*Polars!$G$28)</f>
        <v>0.033000289211783496</v>
      </c>
      <c r="D10" s="53">
        <f>1.6/(1+(1+4*C10*Polars!$G$13/(PI()*Polars!$G$17^2))^0.5)</f>
        <v>0.7519592025936379</v>
      </c>
      <c r="E10" s="52">
        <f>Polars!$G$23*'Thrust vs Drag'!D10</f>
        <v>43.613633750431</v>
      </c>
      <c r="F10" s="50">
        <f>0.5*1.225*$A10^2*C10*Polars!$G$13</f>
        <v>296.3340170466208</v>
      </c>
      <c r="G10" s="152">
        <f t="shared" si="0"/>
        <v>8.297352477305381</v>
      </c>
      <c r="H10" s="151">
        <f>2*Polars!$G$18*9.81/(L$4*$F$4*'Thrust vs Drag'!$A10^2*Polars!$G$13)</f>
        <v>0.9849562881179034</v>
      </c>
      <c r="I10" s="54">
        <f>Polars!$G$19+'Thrust vs Drag'!H10^2/(PI()*Polars!$G$24*Polars!$G$28)</f>
        <v>0.035652140462011817</v>
      </c>
      <c r="J10" s="53">
        <f>1.6/(1+(1+4*I10*Polars!$G$13/(PI()*Polars!$G$17^2))^0.5)</f>
        <v>0.7485660616990959</v>
      </c>
      <c r="K10" s="52">
        <f>Polars!$G$23*'Thrust vs Drag'!J10*(L$4-(1-L$4)/7.55)</f>
        <v>40.60313673504944</v>
      </c>
      <c r="L10" s="50">
        <f>0.5*L$4*$F$4*$A10^2*I10*Polars!$G$13</f>
        <v>301.8259559625242</v>
      </c>
      <c r="M10" s="152">
        <f t="shared" si="1"/>
        <v>8.451126766950678</v>
      </c>
      <c r="N10" s="151">
        <f>2*Polars!$G$18*9.81/(R$4*$F$4*'Thrust vs Drag'!$A10^2*Polars!$G$13)</f>
        <v>1.0456084849414544</v>
      </c>
      <c r="O10" s="54">
        <f>Polars!$G$19+'Thrust vs Drag'!N10^2/(PI()*Polars!$G$24*Polars!$G$28)</f>
        <v>0.03868014712972495</v>
      </c>
      <c r="P10" s="53">
        <f>1.6/(1+(1+4*O10*Polars!$G$13/(PI()*Polars!$G$17^2))^0.5)</f>
        <v>0.7447632078518579</v>
      </c>
      <c r="Q10" s="52">
        <f>Polars!$G$23*'Thrust vs Drag'!P10*(R$4-(1-R$4)/7.55)</f>
        <v>37.72170370619946</v>
      </c>
      <c r="R10" s="50">
        <f>0.5*R$4*$F$4*$A10^2*O10*Polars!$G$13</f>
        <v>308.46575126948284</v>
      </c>
      <c r="S10" s="152">
        <f t="shared" si="2"/>
        <v>8.637041035545518</v>
      </c>
      <c r="T10" s="151">
        <f>2*Polars!$G$18*9.81/(X$4*$F$4*'Thrust vs Drag'!$A10^2*Polars!$G$13)</f>
        <v>1.1109405814079252</v>
      </c>
      <c r="U10" s="54">
        <f>Polars!$G$19+'Thrust vs Drag'!T10^2/(PI()*Polars!$G$24*Polars!$G$28)</f>
        <v>0.04214415908575836</v>
      </c>
      <c r="V10" s="53">
        <f>1.6/(1+(1+4*U10*Polars!$G$13/(PI()*Polars!$G$17^2))^0.5)</f>
        <v>0.7405030149409859</v>
      </c>
      <c r="W10" s="52">
        <f>Polars!$G$23*'Thrust vs Drag'!V10*(X$4-(1-X$4)/7.55)</f>
        <v>34.965746162573154</v>
      </c>
      <c r="X10" s="50">
        <f>0.5*X$4*$F$4*$A10^2*U10*Polars!$G$13</f>
        <v>316.3257121197546</v>
      </c>
      <c r="Y10" s="152">
        <f t="shared" si="3"/>
        <v>8.857119939353128</v>
      </c>
    </row>
    <row r="11" spans="1:25" ht="9" customHeight="1">
      <c r="A11" s="150">
        <v>30</v>
      </c>
      <c r="B11" s="151">
        <f>2*Polars!$G$18*9.81/(F$4*'Thrust vs Drag'!$A11^2*Polars!$G$13)</f>
        <v>0.8089053803339518</v>
      </c>
      <c r="C11" s="54">
        <f>Polars!$G$19+'Thrust vs Drag'!B11^2/(PI()*Polars!$G$24*Polars!$G$28)</f>
        <v>0.02788751230340493</v>
      </c>
      <c r="D11" s="53">
        <f>1.6/(1+(1+4*C11*Polars!$G$13/(PI()*Polars!$G$17^2))^0.5)</f>
        <v>0.7586739391235695</v>
      </c>
      <c r="E11" s="52">
        <f>Polars!$G$23*'Thrust vs Drag'!D11</f>
        <v>44.00308846916703</v>
      </c>
      <c r="F11" s="50">
        <f>0.5*1.225*$A11^2*C11*Polars!$G$13</f>
        <v>287.47493464061176</v>
      </c>
      <c r="G11" s="152">
        <f t="shared" si="0"/>
        <v>8.624248039218353</v>
      </c>
      <c r="H11" s="151">
        <f>2*Polars!$G$18*9.81/(L$4*$F$4*'Thrust vs Drag'!$A11^2*Polars!$G$13)</f>
        <v>0.8580063665382623</v>
      </c>
      <c r="I11" s="54">
        <f>Polars!$G$19+'Thrust vs Drag'!H11^2/(PI()*Polars!$G$24*Polars!$G$28)</f>
        <v>0.02989982870101028</v>
      </c>
      <c r="J11" s="53">
        <f>1.6/(1+(1+4*I11*Polars!$G$13/(PI()*Polars!$G$17^2))^0.5)</f>
        <v>0.7560033105638898</v>
      </c>
      <c r="K11" s="52">
        <f>Polars!$G$23*'Thrust vs Drag'!J11*(L$4-(1-L$4)/7.55)</f>
        <v>41.00654218987917</v>
      </c>
      <c r="L11" s="50">
        <f>0.5*L$4*$F$4*$A11^2*I11*Polars!$G$13</f>
        <v>290.5802699684932</v>
      </c>
      <c r="M11" s="152">
        <f t="shared" si="1"/>
        <v>8.717408099054795</v>
      </c>
      <c r="N11" s="151">
        <f>2*Polars!$G$18*9.81/(R$4*$F$4*'Thrust vs Drag'!$A11^2*Polars!$G$13)</f>
        <v>0.9108411691045558</v>
      </c>
      <c r="O11" s="54">
        <f>Polars!$G$19+'Thrust vs Drag'!N11^2/(PI()*Polars!$G$24*Polars!$G$28)</f>
        <v>0.03219758483230644</v>
      </c>
      <c r="P11" s="53">
        <f>1.6/(1+(1+4*O11*Polars!$G$13/(PI()*Polars!$G$17^2))^0.5)</f>
        <v>0.7529981436050045</v>
      </c>
      <c r="Q11" s="52">
        <f>Polars!$G$23*'Thrust vs Drag'!P11*(R$4-(1-R$4)/7.55)</f>
        <v>38.13879709003586</v>
      </c>
      <c r="R11" s="50">
        <f>0.5*R$4*$F$4*$A11^2*O11*Polars!$G$13</f>
        <v>294.7600198925224</v>
      </c>
      <c r="S11" s="152">
        <f t="shared" si="2"/>
        <v>8.842800596775673</v>
      </c>
      <c r="T11" s="151">
        <f>2*Polars!$G$18*9.81/(X$4*$F$4*'Thrust vs Drag'!$A11^2*Polars!$G$13)</f>
        <v>0.9677526842486815</v>
      </c>
      <c r="U11" s="54">
        <f>Polars!$G$19+'Thrust vs Drag'!T11^2/(PI()*Polars!$G$24*Polars!$G$28)</f>
        <v>0.03482619684816777</v>
      </c>
      <c r="V11" s="53">
        <f>1.6/(1+(1+4*U11*Polars!$G$13/(PI()*Polars!$G$17^2))^0.5)</f>
        <v>0.7496165106533856</v>
      </c>
      <c r="W11" s="52">
        <f>Polars!$G$23*'Thrust vs Drag'!V11*(X$4-(1-X$4)/7.55)</f>
        <v>35.39607550803688</v>
      </c>
      <c r="X11" s="50">
        <f>0.5*X$4*$F$4*$A11^2*U11*Polars!$G$13</f>
        <v>300.0748508839309</v>
      </c>
      <c r="Y11" s="152">
        <f t="shared" si="3"/>
        <v>9.002245526517926</v>
      </c>
    </row>
    <row r="12" spans="1:25" ht="9" customHeight="1">
      <c r="A12" s="150">
        <v>32</v>
      </c>
      <c r="B12" s="151">
        <f>2*Polars!$G$18*9.81/(F$4*'Thrust vs Drag'!$A12^2*Polars!$G$13)</f>
        <v>0.7109519944341373</v>
      </c>
      <c r="C12" s="54">
        <f>Polars!$G$19+'Thrust vs Drag'!B12^2/(PI()*Polars!$G$24*Polars!$G$28)</f>
        <v>0.02422722031188774</v>
      </c>
      <c r="D12" s="53">
        <f>1.6/(1+(1+4*C12*Polars!$G$13/(PI()*Polars!$G$17^2))^0.5)</f>
        <v>0.7636276942188943</v>
      </c>
      <c r="E12" s="52">
        <f>Polars!$G$23*'Thrust vs Drag'!D12</f>
        <v>44.29040626469587</v>
      </c>
      <c r="F12" s="50">
        <f>0.5*1.225*$A12^2*C12*Polars!$G$13</f>
        <v>284.152345238819</v>
      </c>
      <c r="G12" s="152">
        <f t="shared" si="0"/>
        <v>9.092875047642208</v>
      </c>
      <c r="H12" s="151">
        <f>2*Polars!$G$18*9.81/(L$4*$F$4*'Thrust vs Drag'!$A12^2*Polars!$G$13)</f>
        <v>0.7541071580902697</v>
      </c>
      <c r="I12" s="54">
        <f>Polars!$G$19+'Thrust vs Drag'!H12^2/(PI()*Polars!$G$24*Polars!$G$28)</f>
        <v>0.02578168682844003</v>
      </c>
      <c r="J12" s="53">
        <f>1.6/(1+(1+4*I12*Polars!$G$13/(PI()*Polars!$G$17^2))^0.5)</f>
        <v>0.761508507429011</v>
      </c>
      <c r="K12" s="52">
        <f>Polars!$G$23*'Thrust vs Drag'!J12*(L$4-(1-L$4)/7.55)</f>
        <v>41.305150786374334</v>
      </c>
      <c r="L12" s="50">
        <f>0.5*L$4*$F$4*$A12^2*I12*Polars!$G$13</f>
        <v>285.0796379699835</v>
      </c>
      <c r="M12" s="152">
        <f t="shared" si="1"/>
        <v>9.122548415039471</v>
      </c>
      <c r="N12" s="151">
        <f>2*Polars!$G$18*9.81/(R$4*$F$4*'Thrust vs Drag'!$A12^2*Polars!$G$13)</f>
        <v>0.8005439962833011</v>
      </c>
      <c r="O12" s="54">
        <f>Polars!$G$19+'Thrust vs Drag'!N12^2/(PI()*Polars!$G$24*Polars!$G$28)</f>
        <v>0.027556648744743555</v>
      </c>
      <c r="P12" s="53">
        <f>1.6/(1+(1+4*O12*Polars!$G$13/(PI()*Polars!$G$17^2))^0.5)</f>
        <v>0.7591165765876</v>
      </c>
      <c r="Q12" s="52">
        <f>Polars!$G$23*'Thrust vs Drag'!P12*(R$4-(1-R$4)/7.55)</f>
        <v>38.448691179435635</v>
      </c>
      <c r="R12" s="50">
        <f>0.5*R$4*$F$4*$A12^2*O12*Polars!$G$13</f>
        <v>287.0312145551684</v>
      </c>
      <c r="S12" s="152">
        <f t="shared" si="2"/>
        <v>9.184998865765388</v>
      </c>
      <c r="T12" s="151">
        <f>2*Polars!$G$18*9.81/(X$4*$F$4*'Thrust vs Drag'!$A12^2*Polars!$G$13)</f>
        <v>0.8505638826404426</v>
      </c>
      <c r="U12" s="54">
        <f>Polars!$G$19+'Thrust vs Drag'!T12^2/(PI()*Polars!$G$24*Polars!$G$28)</f>
        <v>0.02958718895627583</v>
      </c>
      <c r="V12" s="53">
        <f>1.6/(1+(1+4*U12*Polars!$G$13/(PI()*Polars!$G$17^2))^0.5)</f>
        <v>0.7564158257165271</v>
      </c>
      <c r="W12" s="52">
        <f>Polars!$G$23*'Thrust vs Drag'!V12*(X$4-(1-X$4)/7.55)</f>
        <v>35.71713176274519</v>
      </c>
      <c r="X12" s="50">
        <f>0.5*X$4*$F$4*$A12^2*U12*Polars!$G$13</f>
        <v>290.0579017604471</v>
      </c>
      <c r="Y12" s="152">
        <f t="shared" si="3"/>
        <v>9.281852856334307</v>
      </c>
    </row>
    <row r="13" spans="1:25" ht="9" customHeight="1">
      <c r="A13" s="150">
        <v>34</v>
      </c>
      <c r="B13" s="151">
        <f>2*Polars!$G$18*9.81/(F$4*'Thrust vs Drag'!$A13^2*Polars!$G$13)</f>
        <v>0.629770624827471</v>
      </c>
      <c r="C13" s="54">
        <f>Polars!$G$19+'Thrust vs Drag'!B13^2/(PI()*Polars!$G$24*Polars!$G$28)</f>
        <v>0.021551204012881485</v>
      </c>
      <c r="D13" s="53">
        <f>1.6/(1+(1+4*C13*Polars!$G$13/(PI()*Polars!$G$17^2))^0.5)</f>
        <v>0.7673306472090714</v>
      </c>
      <c r="E13" s="52">
        <f>Polars!$G$23*'Thrust vs Drag'!D13</f>
        <v>44.50517753812614</v>
      </c>
      <c r="F13" s="50">
        <f>0.5*1.225*$A13^2*C13*Polars!$G$13</f>
        <v>285.3494710246978</v>
      </c>
      <c r="G13" s="152">
        <f t="shared" si="0"/>
        <v>9.701882014839724</v>
      </c>
      <c r="H13" s="151">
        <f>2*Polars!$G$18*9.81/(L$4*$F$4*'Thrust vs Drag'!$A13^2*Polars!$G$13)</f>
        <v>0.6679980362322112</v>
      </c>
      <c r="I13" s="54">
        <f>Polars!$G$19+'Thrust vs Drag'!H13^2/(PI()*Polars!$G$24*Polars!$G$28)</f>
        <v>0.022770939380379135</v>
      </c>
      <c r="J13" s="53">
        <f>1.6/(1+(1+4*I13*Polars!$G$13/(PI()*Polars!$G$17^2))^0.5)</f>
        <v>0.7656341243221498</v>
      </c>
      <c r="K13" s="52">
        <f>Polars!$G$23*'Thrust vs Drag'!J13*(L$4-(1-L$4)/7.55)</f>
        <v>41.5289292815526</v>
      </c>
      <c r="L13" s="50">
        <f>0.5*L$4*$F$4*$A13^2*I13*Polars!$G$13</f>
        <v>284.2455631969649</v>
      </c>
      <c r="M13" s="152">
        <f t="shared" si="1"/>
        <v>9.664349148696807</v>
      </c>
      <c r="N13" s="151">
        <f>2*Polars!$G$18*9.81/(R$4*$F$4*'Thrust vs Drag'!$A13^2*Polars!$G$13)</f>
        <v>0.7091323980917822</v>
      </c>
      <c r="O13" s="54">
        <f>Polars!$G$19+'Thrust vs Drag'!N13^2/(PI()*Polars!$G$24*Polars!$G$28)</f>
        <v>0.024163689756294984</v>
      </c>
      <c r="P13" s="53">
        <f>1.6/(1+(1+4*O13*Polars!$G$13/(PI()*Polars!$G$17^2))^0.5)</f>
        <v>0.7637147963617112</v>
      </c>
      <c r="Q13" s="52">
        <f>Polars!$G$23*'Thrust vs Drag'!P13*(R$4-(1-R$4)/7.55)</f>
        <v>38.68158759814475</v>
      </c>
      <c r="R13" s="50">
        <f>0.5*R$4*$F$4*$A13^2*O13*Polars!$G$13</f>
        <v>284.13442620173055</v>
      </c>
      <c r="S13" s="152">
        <f t="shared" si="2"/>
        <v>9.660570490858838</v>
      </c>
      <c r="T13" s="151">
        <f>2*Polars!$G$18*9.81/(X$4*$F$4*'Thrust vs Drag'!$A13^2*Polars!$G$13)</f>
        <v>0.7534406711278662</v>
      </c>
      <c r="U13" s="54">
        <f>Polars!$G$19+'Thrust vs Drag'!T13^2/(PI()*Polars!$G$24*Polars!$G$28)</f>
        <v>0.025756983458513343</v>
      </c>
      <c r="V13" s="53">
        <f>1.6/(1+(1+4*U13*Polars!$G$13/(PI()*Polars!$G$17^2))^0.5)</f>
        <v>0.7615420057511717</v>
      </c>
      <c r="W13" s="52">
        <f>Polars!$G$23*'Thrust vs Drag'!V13*(X$4-(1-X$4)/7.55)</f>
        <v>35.95918440298909</v>
      </c>
      <c r="X13" s="50">
        <f>0.5*X$4*$F$4*$A13^2*U13*Polars!$G$13</f>
        <v>285.0584190621217</v>
      </c>
      <c r="Y13" s="152">
        <f t="shared" si="3"/>
        <v>9.691986248112139</v>
      </c>
    </row>
    <row r="14" spans="1:25" ht="9" customHeight="1">
      <c r="A14" s="150">
        <v>36</v>
      </c>
      <c r="B14" s="151">
        <f>2*Polars!$G$18*9.81/(F$4*'Thrust vs Drag'!$A14^2*Polars!$G$13)</f>
        <v>0.5617398474541331</v>
      </c>
      <c r="C14" s="54">
        <f>Polars!$G$19+'Thrust vs Drag'!B14^2/(PI()*Polars!$G$24*Polars!$G$28)</f>
        <v>0.019558252461132776</v>
      </c>
      <c r="D14" s="53">
        <f>1.6/(1+(1+4*C14*Polars!$G$13/(PI()*Polars!$G$17^2))^0.5)</f>
        <v>0.7701346710297656</v>
      </c>
      <c r="E14" s="52">
        <f>Polars!$G$23*'Thrust vs Drag'!D14</f>
        <v>44.667810919726406</v>
      </c>
      <c r="F14" s="50">
        <f>0.5*1.225*$A14^2*C14*Polars!$G$13</f>
        <v>290.3238730282026</v>
      </c>
      <c r="G14" s="152">
        <f t="shared" si="0"/>
        <v>10.451659429015296</v>
      </c>
      <c r="H14" s="151">
        <f>2*Polars!$G$18*9.81/(L$4*$F$4*'Thrust vs Drag'!$A14^2*Polars!$G$13)</f>
        <v>0.59583775454046</v>
      </c>
      <c r="I14" s="54">
        <f>Polars!$G$19+'Thrust vs Drag'!H14^2/(PI()*Polars!$G$24*Polars!$G$28)</f>
        <v>0.02052869825473104</v>
      </c>
      <c r="J14" s="53">
        <f>1.6/(1+(1+4*I14*Polars!$G$13/(PI()*Polars!$G$17^2))^0.5)</f>
        <v>0.7687642676170612</v>
      </c>
      <c r="K14" s="52">
        <f>Polars!$G$23*'Thrust vs Drag'!J14*(L$4-(1-L$4)/7.55)</f>
        <v>41.69871207388907</v>
      </c>
      <c r="L14" s="50">
        <f>0.5*L$4*$F$4*$A14^2*I14*Polars!$G$13</f>
        <v>287.29054023959304</v>
      </c>
      <c r="M14" s="152">
        <f t="shared" si="1"/>
        <v>10.34245944862535</v>
      </c>
      <c r="N14" s="151">
        <f>2*Polars!$G$18*9.81/(R$4*$F$4*'Thrust vs Drag'!$A14^2*Polars!$G$13)</f>
        <v>0.6325285896559415</v>
      </c>
      <c r="O14" s="54">
        <f>Polars!$G$19+'Thrust vs Drag'!N14^2/(PI()*Polars!$G$24*Polars!$G$28)</f>
        <v>0.021636798240888523</v>
      </c>
      <c r="P14" s="53">
        <f>1.6/(1+(1+4*O14*Polars!$G$13/(PI()*Polars!$G$17^2))^0.5)</f>
        <v>0.7672111133964067</v>
      </c>
      <c r="Q14" s="52">
        <f>Polars!$G$23*'Thrust vs Drag'!P14*(R$4-(1-R$4)/7.55)</f>
        <v>38.858673460946875</v>
      </c>
      <c r="R14" s="50">
        <f>0.5*R$4*$F$4*$A14^2*O14*Polars!$G$13</f>
        <v>285.2336559676868</v>
      </c>
      <c r="S14" s="152">
        <f t="shared" si="2"/>
        <v>10.268411614836724</v>
      </c>
      <c r="T14" s="151">
        <f>2*Polars!$G$18*9.81/(X$4*$F$4*'Thrust vs Drag'!$A14^2*Polars!$G$13)</f>
        <v>0.6720504751726953</v>
      </c>
      <c r="U14" s="54">
        <f>Polars!$G$19+'Thrust vs Drag'!T14^2/(PI()*Polars!$G$24*Polars!$G$28)</f>
        <v>0.02290445449853769</v>
      </c>
      <c r="V14" s="53">
        <f>1.6/(1+(1+4*U14*Polars!$G$13/(PI()*Polars!$G$17^2))^0.5)</f>
        <v>0.7654493097182501</v>
      </c>
      <c r="W14" s="52">
        <f>Polars!$G$23*'Thrust vs Drag'!V14*(X$4-(1-X$4)/7.55)</f>
        <v>36.14368304234138</v>
      </c>
      <c r="X14" s="50">
        <f>0.5*X$4*$F$4*$A14^2*U14*Polars!$G$13</f>
        <v>284.1881687338716</v>
      </c>
      <c r="Y14" s="152">
        <f t="shared" si="3"/>
        <v>10.230774074419376</v>
      </c>
    </row>
    <row r="15" spans="1:25" ht="9" customHeight="1">
      <c r="A15" s="150">
        <v>38</v>
      </c>
      <c r="B15" s="151">
        <f>2*Polars!$G$18*9.81/(F$4*'Thrust vs Drag'!$A15^2*Polars!$G$13)</f>
        <v>0.5041654032552331</v>
      </c>
      <c r="C15" s="54">
        <f>Polars!$G$19+'Thrust vs Drag'!B15^2/(PI()*Polars!$G$24*Polars!$G$28)</f>
        <v>0.018049417287773074</v>
      </c>
      <c r="D15" s="53">
        <f>1.6/(1+(1+4*C15*Polars!$G$13/(PI()*Polars!$G$17^2))^0.5)</f>
        <v>0.7722845590190982</v>
      </c>
      <c r="E15" s="52">
        <f>Polars!$G$23*'Thrust vs Drag'!D15</f>
        <v>44.792504423107694</v>
      </c>
      <c r="F15" s="50">
        <f>0.5*1.225*$A15^2*C15*Polars!$G$13</f>
        <v>298.52319314719574</v>
      </c>
      <c r="G15" s="152">
        <f t="shared" si="0"/>
        <v>11.343881339593437</v>
      </c>
      <c r="H15" s="151">
        <f>2*Polars!$G$18*9.81/(L$4*$F$4*'Thrust vs Drag'!$A15^2*Polars!$G$13)</f>
        <v>0.534768511000302</v>
      </c>
      <c r="I15" s="54">
        <f>Polars!$G$19+'Thrust vs Drag'!H15^2/(PI()*Polars!$G$24*Polars!$G$28)</f>
        <v>0.018831129503216255</v>
      </c>
      <c r="J15" s="53">
        <f>1.6/(1+(1+4*I15*Polars!$G$13/(PI()*Polars!$G$17^2))^0.5)</f>
        <v>0.7711677835063553</v>
      </c>
      <c r="K15" s="52">
        <f>Polars!$G$23*'Thrust vs Drag'!J15*(L$4-(1-L$4)/7.55)</f>
        <v>41.82908170897025</v>
      </c>
      <c r="L15" s="50">
        <f>0.5*L$4*$F$4*$A15^2*I15*Polars!$G$13</f>
        <v>293.62868256556726</v>
      </c>
      <c r="M15" s="152">
        <f t="shared" si="1"/>
        <v>11.157889937491557</v>
      </c>
      <c r="N15" s="151">
        <f>2*Polars!$G$18*9.81/(R$4*$F$4*'Thrust vs Drag'!$A15^2*Polars!$G$13)</f>
        <v>0.5676987896081026</v>
      </c>
      <c r="O15" s="54">
        <f>Polars!$G$19+'Thrust vs Drag'!N15^2/(PI()*Polars!$G$24*Polars!$G$28)</f>
        <v>0.019723724742255762</v>
      </c>
      <c r="P15" s="53">
        <f>1.6/(1+(1+4*O15*Polars!$G$13/(PI()*Polars!$G$17^2))^0.5)</f>
        <v>0.7699003226408194</v>
      </c>
      <c r="Q15" s="52">
        <f>Polars!$G$23*'Thrust vs Drag'!P15*(R$4-(1-R$4)/7.55)</f>
        <v>38.994879913215506</v>
      </c>
      <c r="R15" s="50">
        <f>0.5*R$4*$F$4*$A15^2*O15*Polars!$G$13</f>
        <v>289.7069392676265</v>
      </c>
      <c r="S15" s="152">
        <f t="shared" si="2"/>
        <v>11.008863692169808</v>
      </c>
      <c r="T15" s="151">
        <f>2*Polars!$G$18*9.81/(X$4*$F$4*'Thrust vs Drag'!$A15^2*Polars!$G$13)</f>
        <v>0.6031699555566574</v>
      </c>
      <c r="U15" s="54">
        <f>Polars!$G$19+'Thrust vs Drag'!T15^2/(PI()*Polars!$G$24*Polars!$G$28)</f>
        <v>0.020744845538619973</v>
      </c>
      <c r="V15" s="53">
        <f>1.6/(1+(1+4*U15*Polars!$G$13/(PI()*Polars!$G$17^2))^0.5)</f>
        <v>0.7684603386882778</v>
      </c>
      <c r="W15" s="52">
        <f>Polars!$G$23*'Thrust vs Drag'!V15*(X$4-(1-X$4)/7.55)</f>
        <v>36.28586055212847</v>
      </c>
      <c r="X15" s="50">
        <f>0.5*X$4*$F$4*$A15^2*U15*Polars!$G$13</f>
        <v>286.78632436879406</v>
      </c>
      <c r="Y15" s="152">
        <f t="shared" si="3"/>
        <v>10.897880326014175</v>
      </c>
    </row>
    <row r="16" spans="1:25" ht="9" customHeight="1">
      <c r="A16" s="150">
        <v>40</v>
      </c>
      <c r="B16" s="151">
        <f>2*Polars!$G$18*9.81/(F$4*'Thrust vs Drag'!$A16^2*Polars!$G$13)</f>
        <v>0.4550092764378479</v>
      </c>
      <c r="C16" s="54">
        <f>Polars!$G$19+'Thrust vs Drag'!B16^2/(PI()*Polars!$G$24*Polars!$G$28)</f>
        <v>0.016890189439749216</v>
      </c>
      <c r="D16" s="53">
        <f>1.6/(1+(1+4*C16*Polars!$G$13/(PI()*Polars!$G$17^2))^0.5)</f>
        <v>0.7739524442063221</v>
      </c>
      <c r="E16" s="52">
        <f>Polars!$G$23*'Thrust vs Drag'!D16</f>
        <v>44.88924176396669</v>
      </c>
      <c r="F16" s="50">
        <f>0.5*1.225*$A16^2*C16*Polars!$G$13</f>
        <v>309.5296116728441</v>
      </c>
      <c r="G16" s="152">
        <f t="shared" si="0"/>
        <v>12.381184466913764</v>
      </c>
      <c r="H16" s="151">
        <f>2*Polars!$G$18*9.81/(L$4*$F$4*'Thrust vs Drag'!$A16^2*Polars!$G$13)</f>
        <v>0.48262858117777263</v>
      </c>
      <c r="I16" s="54">
        <f>Polars!$G$19+'Thrust vs Drag'!H16^2/(PI()*Polars!$G$24*Polars!$G$28)</f>
        <v>0.017526898924929035</v>
      </c>
      <c r="J16" s="53">
        <f>1.6/(1+(1+4*I16*Polars!$G$13/(PI()*Polars!$G$17^2))^0.5)</f>
        <v>0.7730346008750889</v>
      </c>
      <c r="K16" s="52">
        <f>Polars!$G$23*'Thrust vs Drag'!J16*(L$4-(1-L$4)/7.55)</f>
        <v>41.93034016131046</v>
      </c>
      <c r="L16" s="50">
        <f>0.5*L$4*$F$4*$A16^2*I16*Polars!$G$13</f>
        <v>302.8168085878201</v>
      </c>
      <c r="M16" s="152">
        <f t="shared" si="1"/>
        <v>12.112672343512804</v>
      </c>
      <c r="N16" s="151">
        <f>2*Polars!$G$18*9.81/(R$4*$F$4*'Thrust vs Drag'!$A16^2*Polars!$G$13)</f>
        <v>0.5123481576213127</v>
      </c>
      <c r="O16" s="54">
        <f>Polars!$G$19+'Thrust vs Drag'!N16^2/(PI()*Polars!$G$24*Polars!$G$28)</f>
        <v>0.01825392332584696</v>
      </c>
      <c r="P16" s="53">
        <f>1.6/(1+(1+4*O16*Polars!$G$13/(PI()*Polars!$G$17^2))^0.5)</f>
        <v>0.7719917818540766</v>
      </c>
      <c r="Q16" s="52">
        <f>Polars!$G$23*'Thrust vs Drag'!P16*(R$4-(1-R$4)/7.55)</f>
        <v>39.1008107700628</v>
      </c>
      <c r="R16" s="50">
        <f>0.5*R$4*$F$4*$A16^2*O16*Polars!$G$13</f>
        <v>297.08380402741045</v>
      </c>
      <c r="S16" s="152">
        <f t="shared" si="2"/>
        <v>11.883352161096418</v>
      </c>
      <c r="T16" s="151">
        <f>2*Polars!$G$18*9.81/(X$4*$F$4*'Thrust vs Drag'!$A16^2*Polars!$G$13)</f>
        <v>0.5443608848898833</v>
      </c>
      <c r="U16" s="54">
        <f>Polars!$G$19+'Thrust vs Drag'!T16^2/(PI()*Polars!$G$24*Polars!$G$28)</f>
        <v>0.01908563259649058</v>
      </c>
      <c r="V16" s="53">
        <f>1.6/(1+(1+4*U16*Polars!$G$13/(PI()*Polars!$G$17^2))^0.5)</f>
        <v>0.7708055605274636</v>
      </c>
      <c r="W16" s="52">
        <f>Polars!$G$23*'Thrust vs Drag'!V16*(X$4-(1-X$4)/7.55)</f>
        <v>36.39659937407699</v>
      </c>
      <c r="X16" s="50">
        <f>0.5*X$4*$F$4*$A16^2*U16*Polars!$G$13</f>
        <v>292.3530176824326</v>
      </c>
      <c r="Y16" s="152">
        <f t="shared" si="3"/>
        <v>11.694120707297305</v>
      </c>
    </row>
    <row r="17" spans="1:25" ht="9" customHeight="1">
      <c r="A17" s="150">
        <v>42</v>
      </c>
      <c r="B17" s="151">
        <f>2*Polars!$G$18*9.81/(F$4*'Thrust vs Drag'!$A17^2*Polars!$G$13)</f>
        <v>0.4127068267009958</v>
      </c>
      <c r="C17" s="54">
        <f>Polars!$G$19+'Thrust vs Drag'!B17^2/(PI()*Polars!$G$24*Polars!$G$28)</f>
        <v>0.015987711449241184</v>
      </c>
      <c r="D17" s="53">
        <f>1.6/(1+(1+4*C17*Polars!$G$13/(PI()*Polars!$G$17^2))^0.5)</f>
        <v>0.7752607890801911</v>
      </c>
      <c r="E17" s="52">
        <f>Polars!$G$23*'Thrust vs Drag'!D17</f>
        <v>44.965125766651084</v>
      </c>
      <c r="F17" s="50">
        <f>0.5*1.225*$A17^2*C17*Polars!$G$13</f>
        <v>323.02235702072034</v>
      </c>
      <c r="G17" s="152">
        <f t="shared" si="0"/>
        <v>13.566938994870254</v>
      </c>
      <c r="H17" s="151">
        <f>2*Polars!$G$18*9.81/(L$4*$F$4*'Thrust vs Drag'!$A17^2*Polars!$G$13)</f>
        <v>0.4377583502746237</v>
      </c>
      <c r="I17" s="54">
        <f>Polars!$G$19+'Thrust vs Drag'!H17^2/(PI()*Polars!$G$24*Polars!$G$28)</f>
        <v>0.016511533918422087</v>
      </c>
      <c r="J17" s="53">
        <f>1.6/(1+(1+4*I17*Polars!$G$13/(PI()*Polars!$G$17^2))^0.5)</f>
        <v>0.7745003311419085</v>
      </c>
      <c r="K17" s="52">
        <f>Polars!$G$23*'Thrust vs Drag'!J17*(L$4-(1-L$4)/7.55)</f>
        <v>42.00984315975698</v>
      </c>
      <c r="L17" s="50">
        <f>0.5*L$4*$F$4*$A17^2*I17*Polars!$G$13</f>
        <v>314.51467571638415</v>
      </c>
      <c r="M17" s="152">
        <f t="shared" si="1"/>
        <v>13.209616380088136</v>
      </c>
      <c r="N17" s="151">
        <f>2*Polars!$G$18*9.81/(R$4*$F$4*'Thrust vs Drag'!$A17^2*Polars!$G$13)</f>
        <v>0.46471488219620194</v>
      </c>
      <c r="O17" s="54">
        <f>Polars!$G$19+'Thrust vs Drag'!N17^2/(PI()*Polars!$G$24*Polars!$G$28)</f>
        <v>0.01710965869229135</v>
      </c>
      <c r="P17" s="53">
        <f>1.6/(1+(1+4*O17*Polars!$G$13/(PI()*Polars!$G$17^2))^0.5)</f>
        <v>0.7736355857534348</v>
      </c>
      <c r="Q17" s="52">
        <f>Polars!$G$23*'Thrust vs Drag'!P17*(R$4-(1-R$4)/7.55)</f>
        <v>39.18406821751585</v>
      </c>
      <c r="R17" s="50">
        <f>0.5*R$4*$F$4*$A17^2*O17*Polars!$G$13</f>
        <v>307.00305600593356</v>
      </c>
      <c r="S17" s="152">
        <f t="shared" si="2"/>
        <v>12.894128352249208</v>
      </c>
      <c r="T17" s="151">
        <f>2*Polars!$G$18*9.81/(X$4*$F$4*'Thrust vs Drag'!$A17^2*Polars!$G$13)</f>
        <v>0.49375136951463344</v>
      </c>
      <c r="U17" s="54">
        <f>Polars!$G$19+'Thrust vs Drag'!T17^2/(PI()*Polars!$G$24*Polars!$G$28)</f>
        <v>0.01779390796755721</v>
      </c>
      <c r="V17" s="53">
        <f>1.6/(1+(1+4*U17*Polars!$G$13/(PI()*Polars!$G$17^2))^0.5)</f>
        <v>0.7726509685421796</v>
      </c>
      <c r="W17" s="52">
        <f>Polars!$G$23*'Thrust vs Drag'!V17*(X$4-(1-X$4)/7.55)</f>
        <v>36.48373753139305</v>
      </c>
      <c r="X17" s="50">
        <f>0.5*X$4*$F$4*$A17^2*U17*Polars!$G$13</f>
        <v>300.5044861613865</v>
      </c>
      <c r="Y17" s="152">
        <f t="shared" si="3"/>
        <v>12.621188418778233</v>
      </c>
    </row>
    <row r="18" spans="1:25" ht="9" customHeight="1">
      <c r="A18" s="150">
        <v>44</v>
      </c>
      <c r="B18" s="151">
        <f>2*Polars!$G$18*9.81/(F$4*'Thrust vs Drag'!$A18^2*Polars!$G$13)</f>
        <v>0.37604072432879987</v>
      </c>
      <c r="C18" s="54">
        <f>Polars!$G$19+'Thrust vs Drag'!B18^2/(PI()*Polars!$G$24*Polars!$G$28)</f>
        <v>0.015276667877705905</v>
      </c>
      <c r="D18" s="53">
        <f>1.6/(1+(1+4*C18*Polars!$G$13/(PI()*Polars!$G$17^2))^0.5)</f>
        <v>0.7762977694765003</v>
      </c>
      <c r="E18" s="52">
        <f>Polars!$G$23*'Thrust vs Drag'!D18</f>
        <v>45.02527062963702</v>
      </c>
      <c r="F18" s="50">
        <f>0.5*1.225*$A18^2*C18*Polars!$G$13</f>
        <v>338.7518607874745</v>
      </c>
      <c r="G18" s="152">
        <f t="shared" si="0"/>
        <v>14.905081874648879</v>
      </c>
      <c r="H18" s="151">
        <f>2*Polars!$G$18*9.81/(L$4*$F$4*'Thrust vs Drag'!$A18^2*Polars!$G$13)</f>
        <v>0.3988665960146881</v>
      </c>
      <c r="I18" s="54">
        <f>Polars!$G$19+'Thrust vs Drag'!H18^2/(PI()*Polars!$G$24*Polars!$G$28)</f>
        <v>0.01571154902324229</v>
      </c>
      <c r="J18" s="53">
        <f>1.6/(1+(1+4*I18*Polars!$G$13/(PI()*Polars!$G$17^2))^0.5)</f>
        <v>0.7756628935905235</v>
      </c>
      <c r="K18" s="52">
        <f>Polars!$G$23*'Thrust vs Drag'!J18*(L$4-(1-L$4)/7.55)</f>
        <v>42.07290196575869</v>
      </c>
      <c r="L18" s="50">
        <f>0.5*L$4*$F$4*$A18^2*I18*Polars!$G$13</f>
        <v>328.4575666132779</v>
      </c>
      <c r="M18" s="152">
        <f t="shared" si="1"/>
        <v>14.452132930984227</v>
      </c>
      <c r="N18" s="151">
        <f>2*Polars!$G$18*9.81/(R$4*$F$4*'Thrust vs Drag'!$A18^2*Polars!$G$13)</f>
        <v>0.4234282294391014</v>
      </c>
      <c r="O18" s="54">
        <f>Polars!$G$19+'Thrust vs Drag'!N18^2/(PI()*Polars!$G$24*Polars!$G$28)</f>
        <v>0.016208116471447962</v>
      </c>
      <c r="P18" s="53">
        <f>1.6/(1+(1+4*O18*Polars!$G$13/(PI()*Polars!$G$17^2))^0.5)</f>
        <v>0.7749404583382286</v>
      </c>
      <c r="Q18" s="52">
        <f>Polars!$G$23*'Thrust vs Drag'!P18*(R$4-(1-R$4)/7.55)</f>
        <v>39.25015904544477</v>
      </c>
      <c r="R18" s="50">
        <f>0.5*R$4*$F$4*$A18^2*O18*Polars!$G$13</f>
        <v>319.18367695086965</v>
      </c>
      <c r="S18" s="152">
        <f t="shared" si="2"/>
        <v>14.044081785838266</v>
      </c>
      <c r="T18" s="151">
        <f>2*Polars!$G$18*9.81/(X$4*$F$4*'Thrust vs Drag'!$A18^2*Polars!$G$13)</f>
        <v>0.4498850288346143</v>
      </c>
      <c r="U18" s="54">
        <f>Polars!$G$19+'Thrust vs Drag'!T18^2/(PI()*Polars!$G$24*Polars!$G$28)</f>
        <v>0.016776185094249423</v>
      </c>
      <c r="V18" s="53">
        <f>1.6/(1+(1+4*U18*Polars!$G$13/(PI()*Polars!$G$17^2))^0.5)</f>
        <v>0.7741172396113186</v>
      </c>
      <c r="W18" s="52">
        <f>Polars!$G$23*'Thrust vs Drag'!V18*(X$4-(1-X$4)/7.55)</f>
        <v>36.5529732549142</v>
      </c>
      <c r="X18" s="50">
        <f>0.5*X$4*$F$4*$A18^2*U18*Polars!$G$13</f>
        <v>310.94215286684766</v>
      </c>
      <c r="Y18" s="152">
        <f t="shared" si="3"/>
        <v>13.681454726141297</v>
      </c>
    </row>
    <row r="19" spans="1:25" ht="9" customHeight="1">
      <c r="A19" s="150">
        <v>46</v>
      </c>
      <c r="B19" s="151">
        <f>2*Polars!$G$18*9.81/(F$4*'Thrust vs Drag'!$A19^2*Polars!$G$13)</f>
        <v>0.34405238293977153</v>
      </c>
      <c r="C19" s="54">
        <f>Polars!$G$19+'Thrust vs Drag'!B19^2/(PI()*Polars!$G$24*Polars!$G$28)</f>
        <v>0.014710332332859998</v>
      </c>
      <c r="D19" s="53">
        <f>1.6/(1+(1+4*C19*Polars!$G$13/(PI()*Polars!$G$17^2))^0.5)</f>
        <v>0.7771276339370844</v>
      </c>
      <c r="E19" s="52">
        <f>Polars!$G$23*'Thrust vs Drag'!D19</f>
        <v>45.073402768350896</v>
      </c>
      <c r="F19" s="50">
        <f>0.5*1.225*$A19^2*C19*Polars!$G$13</f>
        <v>356.5216003140599</v>
      </c>
      <c r="G19" s="152">
        <f t="shared" si="0"/>
        <v>16.399993614446757</v>
      </c>
      <c r="H19" s="151">
        <f>2*Polars!$G$18*9.81/(L$4*$F$4*'Thrust vs Drag'!$A19^2*Polars!$G$13)</f>
        <v>0.3649365453140057</v>
      </c>
      <c r="I19" s="54">
        <f>Polars!$G$19+'Thrust vs Drag'!H19^2/(PI()*Polars!$G$24*Polars!$G$28)</f>
        <v>0.015074373047511427</v>
      </c>
      <c r="J19" s="53">
        <f>1.6/(1+(1+4*I19*Polars!$G$13/(PI()*Polars!$G$17^2))^0.5)</f>
        <v>0.7765937954732186</v>
      </c>
      <c r="K19" s="52">
        <f>Polars!$G$23*'Thrust vs Drag'!J19*(L$4-(1-L$4)/7.55)</f>
        <v>42.12339521994683</v>
      </c>
      <c r="L19" s="50">
        <f>0.5*L$4*$F$4*$A19^2*I19*Polars!$G$13</f>
        <v>344.4370295896752</v>
      </c>
      <c r="M19" s="152">
        <f t="shared" si="1"/>
        <v>15.84410336112506</v>
      </c>
      <c r="N19" s="151">
        <f>2*Polars!$G$18*9.81/(R$4*$F$4*'Thrust vs Drag'!$A19^2*Polars!$G$13)</f>
        <v>0.3874088148365313</v>
      </c>
      <c r="O19" s="54">
        <f>Polars!$G$19+'Thrust vs Drag'!N19^2/(PI()*Polars!$G$24*Polars!$G$28)</f>
        <v>0.015490051608361581</v>
      </c>
      <c r="P19" s="53">
        <f>1.6/(1+(1+4*O19*Polars!$G$13/(PI()*Polars!$G$17^2))^0.5)</f>
        <v>0.775985998205793</v>
      </c>
      <c r="Q19" s="52">
        <f>Polars!$G$23*'Thrust vs Drag'!P19*(R$4-(1-R$4)/7.55)</f>
        <v>39.303114863725646</v>
      </c>
      <c r="R19" s="50">
        <f>0.5*R$4*$F$4*$A19^2*O19*Polars!$G$13</f>
        <v>333.40437901709646</v>
      </c>
      <c r="S19" s="152">
        <f t="shared" si="2"/>
        <v>15.336601434786436</v>
      </c>
      <c r="T19" s="151">
        <f>2*Polars!$G$18*9.81/(X$4*$F$4*'Thrust vs Drag'!$A19^2*Polars!$G$13)</f>
        <v>0.4116150358335602</v>
      </c>
      <c r="U19" s="54">
        <f>Polars!$G$19+'Thrust vs Drag'!T19^2/(PI()*Polars!$G$24*Polars!$G$28)</f>
        <v>0.015965584083241887</v>
      </c>
      <c r="V19" s="53">
        <f>1.6/(1+(1+4*U19*Polars!$G$13/(PI()*Polars!$G$17^2))^0.5)</f>
        <v>0.7752929772259072</v>
      </c>
      <c r="W19" s="52">
        <f>Polars!$G$23*'Thrust vs Drag'!V19*(X$4-(1-X$4)/7.55)</f>
        <v>36.60849030502205</v>
      </c>
      <c r="X19" s="50">
        <f>0.5*X$4*$F$4*$A19^2*U19*Polars!$G$13</f>
        <v>323.43090336462893</v>
      </c>
      <c r="Y19" s="152">
        <f t="shared" si="3"/>
        <v>14.87782155477293</v>
      </c>
    </row>
    <row r="20" spans="1:25" ht="9" customHeight="1">
      <c r="A20" s="150">
        <v>48</v>
      </c>
      <c r="B20" s="151">
        <f>2*Polars!$G$18*9.81/(F$4*'Thrust vs Drag'!$A20^2*Polars!$G$13)</f>
        <v>0.3159786641929499</v>
      </c>
      <c r="C20" s="54">
        <f>Polars!$G$19+'Thrust vs Drag'!B20^2/(PI()*Polars!$G$24*Polars!$G$28)</f>
        <v>0.014254759567780294</v>
      </c>
      <c r="D20" s="53">
        <f>1.6/(1+(1+4*C20*Polars!$G$13/(PI()*Polars!$G$17^2))^0.5)</f>
        <v>0.7777977414363141</v>
      </c>
      <c r="E20" s="52">
        <f>Polars!$G$23*'Thrust vs Drag'!D20</f>
        <v>45.11226900330622</v>
      </c>
      <c r="F20" s="50">
        <f>0.5*1.225*$A20^2*C20*Polars!$G$13</f>
        <v>376.175122328364</v>
      </c>
      <c r="G20" s="152">
        <f t="shared" si="0"/>
        <v>18.05640587176147</v>
      </c>
      <c r="H20" s="151">
        <f>2*Polars!$G$18*9.81/(L$4*$F$4*'Thrust vs Drag'!$A20^2*Polars!$G$13)</f>
        <v>0.3351587369290087</v>
      </c>
      <c r="I20" s="54">
        <f>Polars!$G$19+'Thrust vs Drag'!H20^2/(PI()*Polars!$G$24*Polars!$G$28)</f>
        <v>0.014561814682160994</v>
      </c>
      <c r="J20" s="53">
        <f>1.6/(1+(1+4*I20*Polars!$G$13/(PI()*Polars!$G$17^2))^0.5)</f>
        <v>0.77734584010249</v>
      </c>
      <c r="K20" s="52">
        <f>Polars!$G$23*'Thrust vs Drag'!J20*(L$4-(1-L$4)/7.55)</f>
        <v>42.16418703843223</v>
      </c>
      <c r="L20" s="50">
        <f>0.5*L$4*$F$4*$A20^2*I20*Polars!$G$13</f>
        <v>362.2871145767526</v>
      </c>
      <c r="M20" s="152">
        <f t="shared" si="1"/>
        <v>17.389781499684123</v>
      </c>
      <c r="N20" s="151">
        <f>2*Polars!$G$18*9.81/(R$4*$F$4*'Thrust vs Drag'!$A20^2*Polars!$G$13)</f>
        <v>0.3557973316814671</v>
      </c>
      <c r="O20" s="54">
        <f>Polars!$G$19+'Thrust vs Drag'!N20^2/(PI()*Polars!$G$24*Polars!$G$28)</f>
        <v>0.014912424443406134</v>
      </c>
      <c r="P20" s="53">
        <f>1.6/(1+(1+4*O20*Polars!$G$13/(PI()*Polars!$G$17^2))^0.5)</f>
        <v>0.7768311023549505</v>
      </c>
      <c r="Q20" s="52">
        <f>Polars!$G$23*'Thrust vs Drag'!P20*(R$4-(1-R$4)/7.55)</f>
        <v>39.34591876163481</v>
      </c>
      <c r="R20" s="50">
        <f>0.5*R$4*$F$4*$A20^2*O20*Polars!$G$13</f>
        <v>349.4889931683518</v>
      </c>
      <c r="S20" s="152">
        <f t="shared" si="2"/>
        <v>16.775471672080887</v>
      </c>
      <c r="T20" s="151">
        <f>2*Polars!$G$18*9.81/(X$4*$F$4*'Thrust vs Drag'!$A20^2*Polars!$G$13)</f>
        <v>0.3780283922846412</v>
      </c>
      <c r="U20" s="54">
        <f>Polars!$G$19+'Thrust vs Drag'!T20^2/(PI()*Polars!$G$24*Polars!$G$28)</f>
        <v>0.015313518806177942</v>
      </c>
      <c r="V20" s="53">
        <f>1.6/(1+(1+4*U20*Polars!$G$13/(PI()*Polars!$G$17^2))^0.5)</f>
        <v>0.7762438919444472</v>
      </c>
      <c r="W20" s="52">
        <f>Polars!$G$23*'Thrust vs Drag'!V20*(X$4-(1-X$4)/7.55)</f>
        <v>36.65339146274843</v>
      </c>
      <c r="X20" s="50">
        <f>0.5*X$4*$F$4*$A20^2*U20*Polars!$G$13</f>
        <v>337.78356115952175</v>
      </c>
      <c r="Y20" s="152">
        <f t="shared" si="3"/>
        <v>16.213610935657044</v>
      </c>
    </row>
    <row r="21" spans="1:25" ht="9" customHeight="1">
      <c r="A21" s="150">
        <v>50</v>
      </c>
      <c r="B21" s="151">
        <f>2*Polars!$G$18*9.81/(F$4*'Thrust vs Drag'!$A21^2*Polars!$G$13)</f>
        <v>0.2912059369202226</v>
      </c>
      <c r="C21" s="54">
        <f>Polars!$G$19+'Thrust vs Drag'!B21^2/(PI()*Polars!$G$24*Polars!$G$28)</f>
        <v>0.013884941594521279</v>
      </c>
      <c r="D21" s="53">
        <f>1.6/(1+(1+4*C21*Polars!$G$13/(PI()*Polars!$G$17^2))^0.5)</f>
        <v>0.7783433914723538</v>
      </c>
      <c r="E21" s="52">
        <f>Polars!$G$23*'Thrust vs Drag'!D21</f>
        <v>45.14391670539652</v>
      </c>
      <c r="F21" s="50">
        <f>0.5*1.225*$A21^2*C21*Polars!$G$13</f>
        <v>397.5866244706202</v>
      </c>
      <c r="G21" s="152">
        <f t="shared" si="0"/>
        <v>19.87933122353101</v>
      </c>
      <c r="H21" s="151">
        <f>2*Polars!$G$18*9.81/(L$4*$F$4*'Thrust vs Drag'!$A21^2*Polars!$G$13)</f>
        <v>0.3088822919537745</v>
      </c>
      <c r="I21" s="54">
        <f>Polars!$G$19+'Thrust vs Drag'!H21^2/(PI()*Polars!$G$24*Polars!$G$28)</f>
        <v>0.014145737799650934</v>
      </c>
      <c r="J21" s="53">
        <f>1.6/(1+(1+4*I21*Polars!$G$13/(PI()*Polars!$G$17^2))^0.5)</f>
        <v>0.7779584413004524</v>
      </c>
      <c r="K21" s="52">
        <f>Polars!$G$23*'Thrust vs Drag'!J21*(L$4-(1-L$4)/7.55)</f>
        <v>42.19741527502697</v>
      </c>
      <c r="L21" s="50">
        <f>0.5*L$4*$F$4*$A21^2*I21*Polars!$G$13</f>
        <v>381.87438294469035</v>
      </c>
      <c r="M21" s="152">
        <f t="shared" si="1"/>
        <v>19.09371914723452</v>
      </c>
      <c r="N21" s="151">
        <f>2*Polars!$G$18*9.81/(R$4*$F$4*'Thrust vs Drag'!$A21^2*Polars!$G$13)</f>
        <v>0.3279028208776401</v>
      </c>
      <c r="O21" s="54">
        <f>Polars!$G$19+'Thrust vs Drag'!N21^2/(PI()*Polars!$G$24*Polars!$G$28)</f>
        <v>0.014443526994266915</v>
      </c>
      <c r="P21" s="53">
        <f>1.6/(1+(1+4*O21*Polars!$G$13/(PI()*Polars!$G$17^2))^0.5)</f>
        <v>0.7775198046177348</v>
      </c>
      <c r="Q21" s="52">
        <f>Polars!$G$23*'Thrust vs Drag'!P21*(R$4-(1-R$4)/7.55)</f>
        <v>39.3808010200824</v>
      </c>
      <c r="R21" s="50">
        <f>0.5*R$4*$F$4*$A21^2*O21*Polars!$G$13</f>
        <v>367.29586381520323</v>
      </c>
      <c r="S21" s="152">
        <f t="shared" si="2"/>
        <v>18.364793190760164</v>
      </c>
      <c r="T21" s="151">
        <f>2*Polars!$G$18*9.81/(X$4*$F$4*'Thrust vs Drag'!$A21^2*Polars!$G$13)</f>
        <v>0.3483909663295253</v>
      </c>
      <c r="U21" s="54">
        <f>Polars!$G$19+'Thrust vs Drag'!T21^2/(PI()*Polars!$G$24*Polars!$G$28)</f>
        <v>0.014784195111522541</v>
      </c>
      <c r="V21" s="53">
        <f>1.6/(1+(1+4*U21*Polars!$G$13/(PI()*Polars!$G$17^2))^0.5)</f>
        <v>0.7770192026512845</v>
      </c>
      <c r="W21" s="52">
        <f>Polars!$G$23*'Thrust vs Drag'!V21*(X$4-(1-X$4)/7.55)</f>
        <v>36.69000079022641</v>
      </c>
      <c r="X21" s="50">
        <f>0.5*X$4*$F$4*$A21^2*U21*Polars!$G$13</f>
        <v>353.8496196851106</v>
      </c>
      <c r="Y21" s="152">
        <f t="shared" si="3"/>
        <v>17.69248098425553</v>
      </c>
    </row>
    <row r="22" spans="1:25" ht="9" customHeight="1">
      <c r="A22" s="150">
        <v>52</v>
      </c>
      <c r="B22" s="151">
        <f>2*Polars!$G$18*9.81/(F$4*'Thrust vs Drag'!$A22^2*Polars!$G$13)</f>
        <v>0.2692362582472473</v>
      </c>
      <c r="C22" s="54">
        <f>Polars!$G$19+'Thrust vs Drag'!B22^2/(PI()*Polars!$G$24*Polars!$G$28)</f>
        <v>0.013582216813048989</v>
      </c>
      <c r="D22" s="53">
        <f>1.6/(1+(1+4*C22*Polars!$G$13/(PI()*Polars!$G$17^2))^0.5)</f>
        <v>0.7787911751163364</v>
      </c>
      <c r="E22" s="52">
        <f>Polars!$G$23*'Thrust vs Drag'!D22</f>
        <v>45.16988815674751</v>
      </c>
      <c r="F22" s="50">
        <f>0.5*1.225*$A22^2*C22*Polars!$G$13</f>
        <v>420.65402198393144</v>
      </c>
      <c r="G22" s="152">
        <f t="shared" si="0"/>
        <v>21.874009143164436</v>
      </c>
      <c r="H22" s="151">
        <f>2*Polars!$G$18*9.81/(L$4*$F$4*'Thrust vs Drag'!$A22^2*Polars!$G$13)</f>
        <v>0.2855790421170252</v>
      </c>
      <c r="I22" s="54">
        <f>Polars!$G$19+'Thrust vs Drag'!H22^2/(PI()*Polars!$G$24*Polars!$G$28)</f>
        <v>0.013805146502198464</v>
      </c>
      <c r="J22" s="53">
        <f>1.6/(1+(1+4*I22*Polars!$G$13/(PI()*Polars!$G$17^2))^0.5)</f>
        <v>0.7784613239226593</v>
      </c>
      <c r="K22" s="52">
        <f>Polars!$G$23*'Thrust vs Drag'!J22*(L$4-(1-L$4)/7.55)</f>
        <v>42.22469224217239</v>
      </c>
      <c r="L22" s="50">
        <f>0.5*L$4*$F$4*$A22^2*I22*Polars!$G$13</f>
        <v>403.09055333762956</v>
      </c>
      <c r="M22" s="152">
        <f t="shared" si="1"/>
        <v>20.960708773556735</v>
      </c>
      <c r="N22" s="151">
        <f>2*Polars!$G$18*9.81/(R$4*$F$4*'Thrust vs Drag'!$A22^2*Polars!$G$13)</f>
        <v>0.30316459030846904</v>
      </c>
      <c r="O22" s="54">
        <f>Polars!$G$19+'Thrust vs Drag'!N22^2/(PI()*Polars!$G$24*Polars!$G$28)</f>
        <v>0.014059697953799574</v>
      </c>
      <c r="P22" s="53">
        <f>1.6/(1+(1+4*O22*Polars!$G$13/(PI()*Polars!$G$17^2))^0.5)</f>
        <v>0.7780853579904485</v>
      </c>
      <c r="Q22" s="52">
        <f>Polars!$G$23*'Thrust vs Drag'!P22*(R$4-(1-R$4)/7.55)</f>
        <v>39.40944587865038</v>
      </c>
      <c r="R22" s="50">
        <f>0.5*R$4*$F$4*$A22^2*O22*Polars!$G$13</f>
        <v>386.71004179106035</v>
      </c>
      <c r="S22" s="152">
        <f t="shared" si="2"/>
        <v>20.108922173135138</v>
      </c>
      <c r="T22" s="151">
        <f>2*Polars!$G$18*9.81/(X$4*$F$4*'Thrust vs Drag'!$A22^2*Polars!$G$13)</f>
        <v>0.3221070324792209</v>
      </c>
      <c r="U22" s="54">
        <f>Polars!$G$19+'Thrust vs Drag'!T22^2/(PI()*Polars!$G$24*Polars!$G$28)</f>
        <v>0.01435090248817989</v>
      </c>
      <c r="V22" s="53">
        <f>1.6/(1+(1+4*U22*Polars!$G$13/(PI()*Polars!$G$17^2))^0.5)</f>
        <v>0.7776561338353689</v>
      </c>
      <c r="W22" s="52">
        <f>Polars!$G$23*'Thrust vs Drag'!V22*(X$4-(1-X$4)/7.55)</f>
        <v>36.720075987297</v>
      </c>
      <c r="X22" s="50">
        <f>0.5*X$4*$F$4*$A22^2*U22*Polars!$G$13</f>
        <v>371.5069474784211</v>
      </c>
      <c r="Y22" s="152">
        <f t="shared" si="3"/>
        <v>19.3183612688779</v>
      </c>
    </row>
    <row r="23" spans="1:25" ht="9" customHeight="1">
      <c r="A23" s="150">
        <v>54</v>
      </c>
      <c r="B23" s="151">
        <f>2*Polars!$G$18*9.81/(F$4*'Thrust vs Drag'!$A23^2*Polars!$G$13)</f>
        <v>0.24966215442405917</v>
      </c>
      <c r="C23" s="54">
        <f>Polars!$G$19+'Thrust vs Drag'!B23^2/(PI()*Polars!$G$24*Polars!$G$28)</f>
        <v>0.013332494313310178</v>
      </c>
      <c r="D23" s="53">
        <f>1.6/(1+(1+4*C23*Polars!$G$13/(PI()*Polars!$G$17^2))^0.5)</f>
        <v>0.7791613256981762</v>
      </c>
      <c r="E23" s="52">
        <f>Polars!$G$23*'Thrust vs Drag'!D23</f>
        <v>45.19135689049422</v>
      </c>
      <c r="F23" s="50">
        <f>0.5*1.225*$A23^2*C23*Polars!$G$13</f>
        <v>445.29377745697894</v>
      </c>
      <c r="G23" s="152">
        <f t="shared" si="0"/>
        <v>24.045863982676863</v>
      </c>
      <c r="H23" s="151">
        <f>2*Polars!$G$18*9.81/(L$4*$F$4*'Thrust vs Drag'!$A23^2*Polars!$G$13)</f>
        <v>0.26481677979575996</v>
      </c>
      <c r="I23" s="54">
        <f>Polars!$G$19+'Thrust vs Drag'!H23^2/(PI()*Polars!$G$24*Polars!$G$28)</f>
        <v>0.013524187309576502</v>
      </c>
      <c r="J23" s="53">
        <f>1.6/(1+(1+4*I23*Polars!$G$13/(PI()*Polars!$G$17^2))^0.5)</f>
        <v>0.7788771272843354</v>
      </c>
      <c r="K23" s="52">
        <f>Polars!$G$23*'Thrust vs Drag'!J23*(L$4-(1-L$4)/7.55)</f>
        <v>42.247245923955276</v>
      </c>
      <c r="L23" s="50">
        <f>0.5*L$4*$F$4*$A23^2*I23*Polars!$G$13</f>
        <v>425.84701757901695</v>
      </c>
      <c r="M23" s="152">
        <f t="shared" si="1"/>
        <v>22.995738949266915</v>
      </c>
      <c r="N23" s="151">
        <f>2*Polars!$G$18*9.81/(R$4*$F$4*'Thrust vs Drag'!$A23^2*Polars!$G$13)</f>
        <v>0.2811238176248629</v>
      </c>
      <c r="O23" s="54">
        <f>Polars!$G$19+'Thrust vs Drag'!N23^2/(PI()*Polars!$G$24*Polars!$G$28)</f>
        <v>0.01374307125745946</v>
      </c>
      <c r="P23" s="53">
        <f>1.6/(1+(1+4*O23*Polars!$G$13/(PI()*Polars!$G$17^2))^0.5)</f>
        <v>0.7785531162800483</v>
      </c>
      <c r="Q23" s="52">
        <f>Polars!$G$23*'Thrust vs Drag'!P23*(R$4-(1-R$4)/7.55)</f>
        <v>39.43313748884322</v>
      </c>
      <c r="R23" s="50">
        <f>0.5*R$4*$F$4*$A23^2*O23*Polars!$G$13</f>
        <v>407.6374625548293</v>
      </c>
      <c r="S23" s="152">
        <f t="shared" si="2"/>
        <v>22.01242297796078</v>
      </c>
      <c r="T23" s="151">
        <f>2*Polars!$G$18*9.81/(X$4*$F$4*'Thrust vs Drag'!$A23^2*Polars!$G$13)</f>
        <v>0.29868910007675353</v>
      </c>
      <c r="U23" s="54">
        <f>Polars!$G$19+'Thrust vs Drag'!T23^2/(PI()*Polars!$G$24*Polars!$G$28)</f>
        <v>0.01399347249353831</v>
      </c>
      <c r="V23" s="53">
        <f>1.6/(1+(1+4*U23*Polars!$G$13/(PI()*Polars!$G$17^2))^0.5)</f>
        <v>0.7781831023156417</v>
      </c>
      <c r="W23" s="52">
        <f>Polars!$G$23*'Thrust vs Drag'!V23*(X$4-(1-X$4)/7.55)</f>
        <v>36.74495886521258</v>
      </c>
      <c r="X23" s="50">
        <f>0.5*X$4*$F$4*$A23^2*U23*Polars!$G$13</f>
        <v>390.6556026228778</v>
      </c>
      <c r="Y23" s="152">
        <f t="shared" si="3"/>
        <v>21.0954025416354</v>
      </c>
    </row>
    <row r="24" spans="1:25" ht="9" customHeight="1">
      <c r="A24" s="150">
        <v>56</v>
      </c>
      <c r="B24" s="151">
        <f>2*Polars!$G$18*9.81/(F$4*'Thrust vs Drag'!$A24^2*Polars!$G$13)</f>
        <v>0.23214759001931015</v>
      </c>
      <c r="C24" s="54">
        <f>Polars!$G$19+'Thrust vs Drag'!B24^2/(PI()*Polars!$G$24*Polars!$G$28)</f>
        <v>0.013125018075736468</v>
      </c>
      <c r="D24" s="53">
        <f>1.6/(1+(1+4*C24*Polars!$G$13/(PI()*Polars!$G$17^2))^0.5)</f>
        <v>0.7794693859114077</v>
      </c>
      <c r="E24" s="52">
        <f>Polars!$G$23*'Thrust vs Drag'!D24</f>
        <v>45.20922438286165</v>
      </c>
      <c r="F24" s="50">
        <f>0.5*1.225*$A24^2*C24*Polars!$G$13</f>
        <v>471.43699926165516</v>
      </c>
      <c r="G24" s="152">
        <f t="shared" si="0"/>
        <v>26.400471958652687</v>
      </c>
      <c r="H24" s="151">
        <f>2*Polars!$G$18*9.81/(L$4*$F$4*'Thrust vs Drag'!$A24^2*Polars!$G$13)</f>
        <v>0.24623907202947584</v>
      </c>
      <c r="I24" s="54">
        <f>Polars!$G$19+'Thrust vs Drag'!H24^2/(PI()*Polars!$G$24*Polars!$G$28)</f>
        <v>0.013290758778875738</v>
      </c>
      <c r="J24" s="53">
        <f>1.6/(1+(1+4*I24*Polars!$G$13/(PI()*Polars!$G$17^2))^0.5)</f>
        <v>0.7792232558857741</v>
      </c>
      <c r="K24" s="52">
        <f>Polars!$G$23*'Thrust vs Drag'!J24*(L$4-(1-L$4)/7.55)</f>
        <v>42.26602036171195</v>
      </c>
      <c r="L24" s="50">
        <f>0.5*L$4*$F$4*$A24^2*I24*Polars!$G$13</f>
        <v>450.0707022823297</v>
      </c>
      <c r="M24" s="152">
        <f t="shared" si="1"/>
        <v>25.203959327810463</v>
      </c>
      <c r="N24" s="151">
        <f>2*Polars!$G$18*9.81/(R$4*$F$4*'Thrust vs Drag'!$A24^2*Polars!$G$13)</f>
        <v>0.2614021212353636</v>
      </c>
      <c r="O24" s="54">
        <f>Polars!$G$19+'Thrust vs Drag'!N24^2/(PI()*Polars!$G$24*Polars!$G$28)</f>
        <v>0.013480009195607809</v>
      </c>
      <c r="P24" s="53">
        <f>1.6/(1+(1+4*O24*Polars!$G$13/(PI()*Polars!$G$17^2))^0.5)</f>
        <v>0.7789425881637704</v>
      </c>
      <c r="Q24" s="52">
        <f>Polars!$G$23*'Thrust vs Drag'!P24*(R$4-(1-R$4)/7.55)</f>
        <v>39.45286395068341</v>
      </c>
      <c r="R24" s="50">
        <f>0.5*R$4*$F$4*$A24^2*O24*Polars!$G$13</f>
        <v>430.0005529655562</v>
      </c>
      <c r="S24" s="152">
        <f t="shared" si="2"/>
        <v>24.080030966071146</v>
      </c>
      <c r="T24" s="151">
        <f>2*Polars!$G$18*9.81/(X$4*$F$4*'Thrust vs Drag'!$A24^2*Polars!$G$13)</f>
        <v>0.2777351453519813</v>
      </c>
      <c r="U24" s="54">
        <f>Polars!$G$19+'Thrust vs Drag'!T24^2/(PI()*Polars!$G$24*Polars!$G$28)</f>
        <v>0.013696509942859897</v>
      </c>
      <c r="V24" s="53">
        <f>1.6/(1+(1+4*U24*Polars!$G$13/(PI()*Polars!$G$17^2))^0.5)</f>
        <v>0.7786219958190737</v>
      </c>
      <c r="W24" s="52">
        <f>Polars!$G$23*'Thrust vs Drag'!V24*(X$4-(1-X$4)/7.55)</f>
        <v>36.76568293861102</v>
      </c>
      <c r="X24" s="50">
        <f>0.5*X$4*$F$4*$A24^2*U24*Polars!$G$13</f>
        <v>411.213165023814</v>
      </c>
      <c r="Y24" s="152">
        <f t="shared" si="3"/>
        <v>23.027937241333586</v>
      </c>
    </row>
    <row r="25" spans="1:25" ht="9" customHeight="1">
      <c r="A25" s="150">
        <v>58</v>
      </c>
      <c r="B25" s="151">
        <f>2*Polars!$G$18*9.81/(F$4*'Thrust vs Drag'!$A25^2*Polars!$G$13)</f>
        <v>0.21641344895973738</v>
      </c>
      <c r="C25" s="54">
        <f>Polars!$G$19+'Thrust vs Drag'!B25^2/(PI()*Polars!$G$24*Polars!$G$28)</f>
        <v>0.012951494682254825</v>
      </c>
      <c r="D25" s="53">
        <f>1.6/(1+(1+4*C25*Polars!$G$13/(PI()*Polars!$G$17^2))^0.5)</f>
        <v>0.7797274028438602</v>
      </c>
      <c r="E25" s="52">
        <f>Polars!$G$23*'Thrust vs Drag'!D25</f>
        <v>45.22418936494389</v>
      </c>
      <c r="F25" s="50">
        <f>0.5*1.225*$A25^2*C25*Polars!$G$13</f>
        <v>499.02646497757155</v>
      </c>
      <c r="G25" s="152">
        <f t="shared" si="0"/>
        <v>28.94353496869915</v>
      </c>
      <c r="H25" s="151">
        <f>2*Polars!$G$18*9.81/(L$4*$F$4*'Thrust vs Drag'!$A25^2*Polars!$G$13)</f>
        <v>0.22954986025102142</v>
      </c>
      <c r="I25" s="54">
        <f>Polars!$G$19+'Thrust vs Drag'!H25^2/(PI()*Polars!$G$24*Polars!$G$28)</f>
        <v>0.013095530104708942</v>
      </c>
      <c r="J25" s="53">
        <f>1.6/(1+(1+4*I25*Polars!$G$13/(PI()*Polars!$G$17^2))^0.5)</f>
        <v>0.7795132086399836</v>
      </c>
      <c r="K25" s="52">
        <f>Polars!$G$23*'Thrust vs Drag'!J25*(L$4-(1-L$4)/7.55)</f>
        <v>42.28174775295802</v>
      </c>
      <c r="L25" s="50">
        <f>0.5*L$4*$F$4*$A25^2*I25*Polars!$G$13</f>
        <v>475.7009115958702</v>
      </c>
      <c r="M25" s="152">
        <f t="shared" si="1"/>
        <v>27.590652872560472</v>
      </c>
      <c r="N25" s="151">
        <f>2*Polars!$G$18*9.81/(R$4*$F$4*'Thrust vs Drag'!$A25^2*Polars!$G$13)</f>
        <v>0.24368521171049357</v>
      </c>
      <c r="O25" s="54">
        <f>Polars!$G$19+'Thrust vs Drag'!N25^2/(PI()*Polars!$G$24*Polars!$G$28)</f>
        <v>0.013259996425940345</v>
      </c>
      <c r="P25" s="53">
        <f>1.6/(1+(1+4*O25*Polars!$G$13/(PI()*Polars!$G$17^2))^0.5)</f>
        <v>0.7792689157251458</v>
      </c>
      <c r="Q25" s="52">
        <f>Polars!$G$23*'Thrust vs Drag'!P25*(R$4-(1-R$4)/7.55)</f>
        <v>39.46939219946314</v>
      </c>
      <c r="R25" s="50">
        <f>0.5*R$4*$F$4*$A25^2*O25*Polars!$G$13</f>
        <v>453.7348796079704</v>
      </c>
      <c r="S25" s="152">
        <f t="shared" si="2"/>
        <v>26.316623017262284</v>
      </c>
      <c r="T25" s="151">
        <f>2*Polars!$G$18*9.81/(X$4*$F$4*'Thrust vs Drag'!$A25^2*Polars!$G$13)</f>
        <v>0.25891124132693616</v>
      </c>
      <c r="U25" s="54">
        <f>Polars!$G$19+'Thrust vs Drag'!T25^2/(PI()*Polars!$G$24*Polars!$G$28)</f>
        <v>0.01344814439443233</v>
      </c>
      <c r="V25" s="53">
        <f>1.6/(1+(1+4*U25*Polars!$G$13/(PI()*Polars!$G$17^2))^0.5)</f>
        <v>0.7789898172917048</v>
      </c>
      <c r="W25" s="52">
        <f>Polars!$G$23*'Thrust vs Drag'!V25*(X$4-(1-X$4)/7.55)</f>
        <v>36.78305106809283</v>
      </c>
      <c r="X25" s="50">
        <f>0.5*X$4*$F$4*$A25^2*U25*Polars!$G$13</f>
        <v>433.11117531345144</v>
      </c>
      <c r="Y25" s="152">
        <f t="shared" si="3"/>
        <v>25.120448168180186</v>
      </c>
    </row>
    <row r="26" spans="1:25" ht="9" customHeight="1">
      <c r="A26" s="150">
        <v>60</v>
      </c>
      <c r="B26" s="151">
        <f>2*Polars!$G$18*9.81/(F$4*'Thrust vs Drag'!$A26^2*Polars!$G$13)</f>
        <v>0.20222634508348794</v>
      </c>
      <c r="C26" s="54">
        <f>Polars!$G$19+'Thrust vs Drag'!B26^2/(PI()*Polars!$G$24*Polars!$G$28)</f>
        <v>0.012805469518962808</v>
      </c>
      <c r="D26" s="53">
        <f>1.6/(1+(1+4*C26*Polars!$G$13/(PI()*Polars!$G$17^2))^0.5)</f>
        <v>0.7799447935297894</v>
      </c>
      <c r="E26" s="52">
        <f>Polars!$G$23*'Thrust vs Drag'!D26</f>
        <v>45.23679802472778</v>
      </c>
      <c r="F26" s="50">
        <f>0.5*1.225*$A26^2*C26*Polars!$G$13</f>
        <v>528.0143274101529</v>
      </c>
      <c r="G26" s="152">
        <f t="shared" si="0"/>
        <v>31.68085964460917</v>
      </c>
      <c r="H26" s="151">
        <f>2*Polars!$G$18*9.81/(L$4*$F$4*'Thrust vs Drag'!$A26^2*Polars!$G$13)</f>
        <v>0.21450159163456559</v>
      </c>
      <c r="I26" s="54">
        <f>Polars!$G$19+'Thrust vs Drag'!H26^2/(PI()*Polars!$G$24*Polars!$G$28)</f>
        <v>0.012931239293813143</v>
      </c>
      <c r="J26" s="53">
        <f>1.6/(1+(1+4*I26*Polars!$G$13/(PI()*Polars!$G$17^2))^0.5)</f>
        <v>0.7797575431617714</v>
      </c>
      <c r="K26" s="52">
        <f>Polars!$G$23*'Thrust vs Drag'!J26*(L$4-(1-L$4)/7.55)</f>
        <v>42.29500075560514</v>
      </c>
      <c r="L26" s="50">
        <f>0.5*L$4*$F$4*$A26^2*I26*Polars!$G$13</f>
        <v>502.68689397494063</v>
      </c>
      <c r="M26" s="152">
        <f t="shared" si="1"/>
        <v>30.161213638496438</v>
      </c>
      <c r="N26" s="151">
        <f>2*Polars!$G$18*9.81/(R$4*$F$4*'Thrust vs Drag'!$A26^2*Polars!$G$13)</f>
        <v>0.22771029227613895</v>
      </c>
      <c r="O26" s="54">
        <f>Polars!$G$19+'Thrust vs Drag'!N26^2/(PI()*Polars!$G$24*Polars!$G$28)</f>
        <v>0.013074849052019152</v>
      </c>
      <c r="P26" s="53">
        <f>1.6/(1+(1+4*O26*Polars!$G$13/(PI()*Polars!$G$17^2))^0.5)</f>
        <v>0.7795439490185708</v>
      </c>
      <c r="Q26" s="52">
        <f>Polars!$G$23*'Thrust vs Drag'!P26*(R$4-(1-R$4)/7.55)</f>
        <v>39.483322431642364</v>
      </c>
      <c r="R26" s="50">
        <f>0.5*R$4*$F$4*$A26^2*O26*Polars!$G$13</f>
        <v>478.78656572997625</v>
      </c>
      <c r="S26" s="152">
        <f t="shared" si="2"/>
        <v>28.727193943798575</v>
      </c>
      <c r="T26" s="151">
        <f>2*Polars!$G$18*9.81/(X$4*$F$4*'Thrust vs Drag'!$A26^2*Polars!$G$13)</f>
        <v>0.2419381710621704</v>
      </c>
      <c r="U26" s="54">
        <f>Polars!$G$19+'Thrust vs Drag'!T26^2/(PI()*Polars!$G$24*Polars!$G$28)</f>
        <v>0.013239137303010486</v>
      </c>
      <c r="V26" s="53">
        <f>1.6/(1+(1+4*U26*Polars!$G$13/(PI()*Polars!$G$17^2))^0.5)</f>
        <v>0.7792998824449159</v>
      </c>
      <c r="W26" s="52">
        <f>Polars!$G$23*'Thrust vs Drag'!V26*(X$4-(1-X$4)/7.55)</f>
        <v>36.79769200705228</v>
      </c>
      <c r="X26" s="50">
        <f>0.5*X$4*$F$4*$A26^2*U26*Polars!$G$13</f>
        <v>456.2923903925233</v>
      </c>
      <c r="Y26" s="152">
        <f t="shared" si="3"/>
        <v>27.3775434235514</v>
      </c>
    </row>
    <row r="27" spans="1:25" ht="9" customHeight="1">
      <c r="A27" s="150">
        <v>62</v>
      </c>
      <c r="B27" s="151">
        <f>2*Polars!$G$18*9.81/(F$4*'Thrust vs Drag'!$A27^2*Polars!$G$13)</f>
        <v>0.18938991735186173</v>
      </c>
      <c r="C27" s="54">
        <f>Polars!$G$19+'Thrust vs Drag'!B27^2/(PI()*Polars!$G$24*Polars!$G$28)</f>
        <v>0.012681875247406257</v>
      </c>
      <c r="D27" s="53">
        <f>1.6/(1+(1+4*C27*Polars!$G$13/(PI()*Polars!$G$17^2))^0.5)</f>
        <v>0.7801289781367211</v>
      </c>
      <c r="E27" s="52">
        <f>Polars!$G$23*'Thrust vs Drag'!D27</f>
        <v>45.24748073192983</v>
      </c>
      <c r="F27" s="50">
        <f>0.5*1.225*$A27^2*C27*Polars!$G$13</f>
        <v>558.3603299959809</v>
      </c>
      <c r="G27" s="152">
        <f t="shared" si="0"/>
        <v>34.61834045975082</v>
      </c>
      <c r="H27" s="151">
        <f>2*Polars!$G$18*9.81/(L$4*$F$4*'Thrust vs Drag'!$A27^2*Polars!$G$13)</f>
        <v>0.20088598592206974</v>
      </c>
      <c r="I27" s="54">
        <f>Polars!$G$19+'Thrust vs Drag'!H27^2/(PI()*Polars!$G$24*Polars!$G$28)</f>
        <v>0.012792185156578623</v>
      </c>
      <c r="J27" s="53">
        <f>1.6/(1+(1+4*I27*Polars!$G$13/(PI()*Polars!$G$17^2))^0.5)</f>
        <v>0.7799645821214042</v>
      </c>
      <c r="K27" s="52">
        <f>Polars!$G$23*'Thrust vs Drag'!J27*(L$4-(1-L$4)/7.55)</f>
        <v>42.306230801445544</v>
      </c>
      <c r="L27" s="50">
        <f>0.5*L$4*$F$4*$A27^2*I27*Polars!$G$13</f>
        <v>530.9859492613423</v>
      </c>
      <c r="M27" s="152">
        <f t="shared" si="1"/>
        <v>32.92112885420322</v>
      </c>
      <c r="N27" s="151">
        <f>2*Polars!$G$18*9.81/(R$4*$F$4*'Thrust vs Drag'!$A27^2*Polars!$G$13)</f>
        <v>0.21325625707442777</v>
      </c>
      <c r="O27" s="54">
        <f>Polars!$G$19+'Thrust vs Drag'!N27^2/(PI()*Polars!$G$24*Polars!$G$28)</f>
        <v>0.01291814212360684</v>
      </c>
      <c r="P27" s="53">
        <f>1.6/(1+(1+4*O27*Polars!$G$13/(PI()*Polars!$G$17^2))^0.5)</f>
        <v>0.7797770343954402</v>
      </c>
      <c r="Q27" s="52">
        <f>Polars!$G$23*'Thrust vs Drag'!P27*(R$4-(1-R$4)/7.55)</f>
        <v>39.49512803298225</v>
      </c>
      <c r="R27" s="50">
        <f>0.5*R$4*$F$4*$A27^2*O27*Polars!$G$13</f>
        <v>505.1102817588204</v>
      </c>
      <c r="S27" s="152">
        <f t="shared" si="2"/>
        <v>31.316837469046867</v>
      </c>
      <c r="T27" s="151">
        <f>2*Polars!$G$18*9.81/(X$4*$F$4*'Thrust vs Drag'!$A27^2*Polars!$G$13)</f>
        <v>0.2265810134817412</v>
      </c>
      <c r="U27" s="54">
        <f>Polars!$G$19+'Thrust vs Drag'!T27^2/(PI()*Polars!$G$24*Polars!$G$28)</f>
        <v>0.013062235742813096</v>
      </c>
      <c r="V27" s="53">
        <f>1.6/(1+(1+4*U27*Polars!$G$13/(PI()*Polars!$G$17^2))^0.5)</f>
        <v>0.779562699830178</v>
      </c>
      <c r="W27" s="52">
        <f>Polars!$G$23*'Thrust vs Drag'!V27*(X$4-(1-X$4)/7.55)</f>
        <v>36.81010195784893</v>
      </c>
      <c r="X27" s="50">
        <f>0.5*X$4*$F$4*$A27^2*U27*Polars!$G$13</f>
        <v>480.7086483891297</v>
      </c>
      <c r="Y27" s="152">
        <f t="shared" si="3"/>
        <v>29.803936200126042</v>
      </c>
    </row>
    <row r="28" spans="1:25" ht="9" customHeight="1">
      <c r="A28" s="150">
        <v>64</v>
      </c>
      <c r="B28" s="151">
        <f>2*Polars!$G$18*9.81/(F$4*'Thrust vs Drag'!$A28^2*Polars!$G$13)</f>
        <v>0.17773799860853431</v>
      </c>
      <c r="C28" s="54">
        <f>Polars!$G$19+'Thrust vs Drag'!B28^2/(PI()*Polars!$G$24*Polars!$G$28)</f>
        <v>0.012576701269492983</v>
      </c>
      <c r="D28" s="53">
        <f>1.6/(1+(1+4*C28*Polars!$G$13/(PI()*Polars!$G$17^2))^0.5)</f>
        <v>0.7802858476038469</v>
      </c>
      <c r="E28" s="52">
        <f>Polars!$G$23*'Thrust vs Drag'!D28</f>
        <v>45.25657916102312</v>
      </c>
      <c r="F28" s="50">
        <f>0.5*1.225*$A28^2*C28*Polars!$G$13</f>
        <v>590.0304063097047</v>
      </c>
      <c r="G28" s="152">
        <f t="shared" si="0"/>
        <v>37.7619460038211</v>
      </c>
      <c r="H28" s="151">
        <f>2*Polars!$G$18*9.81/(L$4*$F$4*'Thrust vs Drag'!$A28^2*Polars!$G$13)</f>
        <v>0.18852678952256743</v>
      </c>
      <c r="I28" s="54">
        <f>Polars!$G$19+'Thrust vs Drag'!H28^2/(PI()*Polars!$G$24*Polars!$G$28)</f>
        <v>0.012673855426777502</v>
      </c>
      <c r="J28" s="53">
        <f>1.6/(1+(1+4*I28*Polars!$G$13/(PI()*Polars!$G$17^2))^0.5)</f>
        <v>0.7801409354994764</v>
      </c>
      <c r="K28" s="52">
        <f>Polars!$G$23*'Thrust vs Drag'!J28*(L$4-(1-L$4)/7.55)</f>
        <v>42.315796423893474</v>
      </c>
      <c r="L28" s="50">
        <f>0.5*L$4*$F$4*$A28^2*I28*Polars!$G$13</f>
        <v>560.5619431796125</v>
      </c>
      <c r="M28" s="152">
        <f t="shared" si="1"/>
        <v>35.8759643634952</v>
      </c>
      <c r="N28" s="151">
        <f>2*Polars!$G$18*9.81/(R$4*$F$4*'Thrust vs Drag'!$A28^2*Polars!$G$13)</f>
        <v>0.20013599907082527</v>
      </c>
      <c r="O28" s="54">
        <f>Polars!$G$19+'Thrust vs Drag'!N28^2/(PI()*Polars!$G$24*Polars!$G$28)</f>
        <v>0.012784790546546472</v>
      </c>
      <c r="P28" s="53">
        <f>1.6/(1+(1+4*O28*Polars!$G$13/(PI()*Polars!$G$17^2))^0.5)</f>
        <v>0.7799755981063364</v>
      </c>
      <c r="Q28" s="52">
        <f>Polars!$G$23*'Thrust vs Drag'!P28*(R$4-(1-R$4)/7.55)</f>
        <v>39.50518513756296</v>
      </c>
      <c r="R28" s="50">
        <f>0.5*R$4*$F$4*$A28^2*O28*Polars!$G$13</f>
        <v>532.6676683221365</v>
      </c>
      <c r="S28" s="152">
        <f t="shared" si="2"/>
        <v>34.09073077261674</v>
      </c>
      <c r="T28" s="151">
        <f>2*Polars!$G$18*9.81/(X$4*$F$4*'Thrust vs Drag'!$A28^2*Polars!$G$13)</f>
        <v>0.21264097066011065</v>
      </c>
      <c r="U28" s="54">
        <f>Polars!$G$19+'Thrust vs Drag'!T28^2/(PI()*Polars!$G$24*Polars!$G$28)</f>
        <v>0.012911699309767238</v>
      </c>
      <c r="V28" s="53">
        <f>1.6/(1+(1+4*U28*Polars!$G$13/(PI()*Polars!$G$17^2))^0.5)</f>
        <v>0.7797866233096372</v>
      </c>
      <c r="W28" s="52">
        <f>Polars!$G$23*'Thrust vs Drag'!V28*(X$4-(1-X$4)/7.55)</f>
        <v>36.82067538075826</v>
      </c>
      <c r="X28" s="50">
        <f>0.5*X$4*$F$4*$A28^2*U28*Polars!$G$13</f>
        <v>506.319193146398</v>
      </c>
      <c r="Y28" s="152">
        <f t="shared" si="3"/>
        <v>32.40442836136947</v>
      </c>
    </row>
    <row r="29" spans="1:25" ht="9" customHeight="1">
      <c r="A29" s="150">
        <v>66</v>
      </c>
      <c r="B29" s="151">
        <f>2*Polars!$G$18*9.81/(F$4*'Thrust vs Drag'!$A29^2*Polars!$G$13)</f>
        <v>0.16712921081279994</v>
      </c>
      <c r="C29" s="54">
        <f>Polars!$G$19+'Thrust vs Drag'!B29^2/(PI()*Polars!$G$24*Polars!$G$28)</f>
        <v>0.012486749210411043</v>
      </c>
      <c r="D29" s="53">
        <f>1.6/(1+(1+4*C29*Polars!$G$13/(PI()*Polars!$G$17^2))^0.5)</f>
        <v>0.7804201121718559</v>
      </c>
      <c r="E29" s="52">
        <f>Polars!$G$23*'Thrust vs Drag'!D29</f>
        <v>45.264366505967644</v>
      </c>
      <c r="F29" s="50">
        <f>0.5*1.225*$A29^2*C29*Polars!$G$13</f>
        <v>622.9955720166553</v>
      </c>
      <c r="G29" s="152">
        <f t="shared" si="0"/>
        <v>41.117707753099246</v>
      </c>
      <c r="H29" s="151">
        <f>2*Polars!$G$18*9.81/(L$4*$F$4*'Thrust vs Drag'!$A29^2*Polars!$G$13)</f>
        <v>0.17727404267319471</v>
      </c>
      <c r="I29" s="54">
        <f>Polars!$G$19+'Thrust vs Drag'!H29^2/(PI()*Polars!$G$24*Polars!$G$28)</f>
        <v>0.012572651658912058</v>
      </c>
      <c r="J29" s="53">
        <f>1.6/(1+(1+4*I29*Polars!$G$13/(PI()*Polars!$G$17^2))^0.5)</f>
        <v>0.7802918901860725</v>
      </c>
      <c r="K29" s="52">
        <f>Polars!$G$23*'Thrust vs Drag'!J29*(L$4-(1-L$4)/7.55)</f>
        <v>42.32398439031924</v>
      </c>
      <c r="L29" s="50">
        <f>0.5*L$4*$F$4*$A29^2*I29*Polars!$G$13</f>
        <v>591.384132030574</v>
      </c>
      <c r="M29" s="152">
        <f t="shared" si="1"/>
        <v>39.031352714017885</v>
      </c>
      <c r="N29" s="151">
        <f>2*Polars!$G$18*9.81/(R$4*$F$4*'Thrust vs Drag'!$A29^2*Polars!$G$13)</f>
        <v>0.18819032419515616</v>
      </c>
      <c r="O29" s="54">
        <f>Polars!$G$19+'Thrust vs Drag'!N29^2/(PI()*Polars!$G$24*Polars!$G$28)</f>
        <v>0.012670739056088487</v>
      </c>
      <c r="P29" s="53">
        <f>1.6/(1+(1+4*O29*Polars!$G$13/(PI()*Polars!$G$17^2))^0.5)</f>
        <v>0.7801455821298128</v>
      </c>
      <c r="Q29" s="52">
        <f>Polars!$G$23*'Thrust vs Drag'!P29*(R$4-(1-R$4)/7.55)</f>
        <v>39.513794702188015</v>
      </c>
      <c r="R29" s="50">
        <f>0.5*R$4*$F$4*$A29^2*O29*Polars!$G$13</f>
        <v>561.4260885678059</v>
      </c>
      <c r="S29" s="152">
        <f t="shared" si="2"/>
        <v>37.05412184547519</v>
      </c>
      <c r="T29" s="151">
        <f>2*Polars!$G$18*9.81/(X$4*$F$4*'Thrust vs Drag'!$A29^2*Polars!$G$13)</f>
        <v>0.199948901704273</v>
      </c>
      <c r="U29" s="54">
        <f>Polars!$G$19+'Thrust vs Drag'!T29^2/(PI()*Polars!$G$24*Polars!$G$28)</f>
        <v>0.01278295014207396</v>
      </c>
      <c r="V29" s="53">
        <f>1.6/(1+(1+4*U29*Polars!$G$13/(PI()*Polars!$G$17^2))^0.5)</f>
        <v>0.7799783399107515</v>
      </c>
      <c r="W29" s="52">
        <f>Polars!$G$23*'Thrust vs Drag'!V29*(X$4-(1-X$4)/7.55)</f>
        <v>36.82972802993653</v>
      </c>
      <c r="X29" s="50">
        <f>0.5*X$4*$F$4*$A29^2*U29*Polars!$G$13</f>
        <v>533.0893485843329</v>
      </c>
      <c r="Y29" s="152">
        <f t="shared" si="3"/>
        <v>35.18389700656597</v>
      </c>
    </row>
    <row r="30" spans="1:25" ht="9" customHeight="1">
      <c r="A30" s="150">
        <v>68</v>
      </c>
      <c r="B30" s="151">
        <f>2*Polars!$G$18*9.81/(F$4*'Thrust vs Drag'!$A30^2*Polars!$G$13)</f>
        <v>0.15744265620686776</v>
      </c>
      <c r="C30" s="54">
        <f>Polars!$G$19+'Thrust vs Drag'!B30^2/(PI()*Polars!$G$24*Polars!$G$28)</f>
        <v>0.012409450250805093</v>
      </c>
      <c r="D30" s="53">
        <f>1.6/(1+(1+4*C30*Polars!$G$13/(PI()*Polars!$G$17^2))^0.5)</f>
        <v>0.7805355634032757</v>
      </c>
      <c r="E30" s="52">
        <f>Polars!$G$23*'Thrust vs Drag'!D30</f>
        <v>45.27106267738999</v>
      </c>
      <c r="F30" s="50">
        <f>0.5*1.225*$A30^2*C30*Polars!$G$13</f>
        <v>657.2310415061745</v>
      </c>
      <c r="G30" s="152">
        <f t="shared" si="0"/>
        <v>44.691710822419864</v>
      </c>
      <c r="H30" s="151">
        <f>2*Polars!$G$18*9.81/(L$4*$F$4*'Thrust vs Drag'!$A30^2*Polars!$G$13)</f>
        <v>0.1669995090580528</v>
      </c>
      <c r="I30" s="54">
        <f>Polars!$G$19+'Thrust vs Drag'!H30^2/(PI()*Polars!$G$24*Polars!$G$28)</f>
        <v>0.012485683711273695</v>
      </c>
      <c r="J30" s="53">
        <f>1.6/(1+(1+4*I30*Polars!$G$13/(PI()*Polars!$G$17^2))^0.5)</f>
        <v>0.7804217031082719</v>
      </c>
      <c r="K30" s="52">
        <f>Polars!$G$23*'Thrust vs Drag'!J30*(L$4-(1-L$4)/7.55)</f>
        <v>42.331025601642764</v>
      </c>
      <c r="L30" s="50">
        <f>0.5*L$4*$F$4*$A30^2*I30*Polars!$G$13</f>
        <v>623.4262257038376</v>
      </c>
      <c r="M30" s="152">
        <f t="shared" si="1"/>
        <v>42.392983347860955</v>
      </c>
      <c r="N30" s="151">
        <f>2*Polars!$G$18*9.81/(R$4*$F$4*'Thrust vs Drag'!$A30^2*Polars!$G$13)</f>
        <v>0.17728309952294555</v>
      </c>
      <c r="O30" s="54">
        <f>Polars!$G$19+'Thrust vs Drag'!N30^2/(PI()*Polars!$G$24*Polars!$G$28)</f>
        <v>0.012572730609768436</v>
      </c>
      <c r="P30" s="53">
        <f>1.6/(1+(1+4*O30*Polars!$G$13/(PI()*Polars!$G$17^2))^0.5)</f>
        <v>0.7802917723786462</v>
      </c>
      <c r="Q30" s="52">
        <f>Polars!$G$23*'Thrust vs Drag'!P30*(R$4-(1-R$4)/7.55)</f>
        <v>39.521199129787405</v>
      </c>
      <c r="R30" s="50">
        <f>0.5*R$4*$F$4*$A30^2*O30*Polars!$G$13</f>
        <v>591.3576334781143</v>
      </c>
      <c r="S30" s="152">
        <f t="shared" si="2"/>
        <v>40.21231907651177</v>
      </c>
      <c r="T30" s="151">
        <f>2*Polars!$G$18*9.81/(X$4*$F$4*'Thrust vs Drag'!$A30^2*Polars!$G$13)</f>
        <v>0.18836016778196654</v>
      </c>
      <c r="U30" s="54">
        <f>Polars!$G$19+'Thrust vs Drag'!T30^2/(PI()*Polars!$G$24*Polars!$G$28)</f>
        <v>0.012672311466157084</v>
      </c>
      <c r="V30" s="53">
        <f>1.6/(1+(1+4*U30*Polars!$G$13/(PI()*Polars!$G$17^2))^0.5)</f>
        <v>0.7801432375913565</v>
      </c>
      <c r="W30" s="52">
        <f>Polars!$G$23*'Thrust vs Drag'!V30*(X$4-(1-X$4)/7.55)</f>
        <v>36.83751431888674</v>
      </c>
      <c r="X30" s="50">
        <f>0.5*X$4*$F$4*$A30^2*U30*Polars!$G$13</f>
        <v>560.9894618636426</v>
      </c>
      <c r="Y30" s="152">
        <f t="shared" si="3"/>
        <v>38.1472834067277</v>
      </c>
    </row>
    <row r="31" spans="1:25" ht="9" customHeight="1">
      <c r="A31" s="150">
        <v>70</v>
      </c>
      <c r="B31" s="151">
        <f>2*Polars!$G$18*9.81/(F$4*'Thrust vs Drag'!$A31^2*Polars!$G$13)</f>
        <v>0.1485744576123585</v>
      </c>
      <c r="C31" s="54">
        <f>Polars!$G$19+'Thrust vs Drag'!B31^2/(PI()*Polars!$G$24*Polars!$G$28)</f>
        <v>0.012342727403821658</v>
      </c>
      <c r="D31" s="53">
        <f>1.6/(1+(1+4*C31*Polars!$G$13/(PI()*Polars!$G$17^2))^0.5)</f>
        <v>0.7806352727984291</v>
      </c>
      <c r="E31" s="52">
        <f>Polars!$G$23*'Thrust vs Drag'!D31</f>
        <v>45.27684582230889</v>
      </c>
      <c r="F31" s="50">
        <f>0.5*1.225*$A31^2*C31*Polars!$G$13</f>
        <v>692.7155186074593</v>
      </c>
      <c r="G31" s="152">
        <f t="shared" si="0"/>
        <v>48.49008630252216</v>
      </c>
      <c r="H31" s="151">
        <f>2*Polars!$G$18*9.81/(L$4*$F$4*'Thrust vs Drag'!$A31^2*Polars!$G$13)</f>
        <v>0.1575930060988645</v>
      </c>
      <c r="I31" s="54">
        <f>Polars!$G$19+'Thrust vs Drag'!H31^2/(PI()*Polars!$G$24*Polars!$G$28)</f>
        <v>0.012410614795827501</v>
      </c>
      <c r="J31" s="53">
        <f>1.6/(1+(1+4*I31*Polars!$G$13/(PI()*Polars!$G$17^2))^0.5)</f>
        <v>0.7805338235755384</v>
      </c>
      <c r="K31" s="52">
        <f>Polars!$G$23*'Thrust vs Drag'!J31*(L$4-(1-L$4)/7.55)</f>
        <v>42.337107152618884</v>
      </c>
      <c r="L31" s="50">
        <f>0.5*L$4*$F$4*$A31^2*I31*Polars!$G$13</f>
        <v>656.6656353397225</v>
      </c>
      <c r="M31" s="152">
        <f t="shared" si="1"/>
        <v>45.966594473780575</v>
      </c>
      <c r="N31" s="151">
        <f>2*Polars!$G$18*9.81/(R$4*$F$4*'Thrust vs Drag'!$A31^2*Polars!$G$13)</f>
        <v>0.1672973575906327</v>
      </c>
      <c r="O31" s="54">
        <f>Polars!$G$19+'Thrust vs Drag'!N31^2/(PI()*Polars!$G$24*Polars!$G$28)</f>
        <v>0.012488131766520957</v>
      </c>
      <c r="P31" s="53">
        <f>1.6/(1+(1+4*O31*Polars!$G$13/(PI()*Polars!$G$17^2))^0.5)</f>
        <v>0.7804180478449813</v>
      </c>
      <c r="Q31" s="52">
        <f>Polars!$G$23*'Thrust vs Drag'!P31*(R$4-(1-R$4)/7.55)</f>
        <v>39.52759488843423</v>
      </c>
      <c r="R31" s="50">
        <f>0.5*R$4*$F$4*$A31^2*O31*Polars!$G$13</f>
        <v>622.4383232037706</v>
      </c>
      <c r="S31" s="152">
        <f t="shared" si="2"/>
        <v>43.57068262426394</v>
      </c>
      <c r="T31" s="151">
        <f>2*Polars!$G$18*9.81/(X$4*$F$4*'Thrust vs Drag'!$A31^2*Polars!$G$13)</f>
        <v>0.17775049302526802</v>
      </c>
      <c r="U31" s="54">
        <f>Polars!$G$19+'Thrust vs Drag'!T31^2/(PI()*Polars!$G$24*Polars!$G$28)</f>
        <v>0.012576810472595413</v>
      </c>
      <c r="V31" s="53">
        <f>1.6/(1+(1+4*U31*Polars!$G$13/(PI()*Polars!$G$17^2))^0.5)</f>
        <v>0.7802856846601902</v>
      </c>
      <c r="W31" s="52">
        <f>Polars!$G$23*'Thrust vs Drag'!V31*(X$4-(1-X$4)/7.55)</f>
        <v>36.84424051439162</v>
      </c>
      <c r="X31" s="50">
        <f>0.5*X$4*$F$4*$A31^2*U31*Polars!$G$13</f>
        <v>589.9940548172143</v>
      </c>
      <c r="Y31" s="152">
        <f t="shared" si="3"/>
        <v>41.299583837205</v>
      </c>
    </row>
    <row r="32" spans="1:25" ht="9" customHeight="1">
      <c r="A32" s="150">
        <v>72</v>
      </c>
      <c r="B32" s="151">
        <f>2*Polars!$G$18*9.81/(F$4*'Thrust vs Drag'!$A32^2*Polars!$G$13)</f>
        <v>0.14043496186353327</v>
      </c>
      <c r="C32" s="54">
        <f>Polars!$G$19+'Thrust vs Drag'!B32^2/(PI()*Polars!$G$24*Polars!$G$28)</f>
        <v>0.012284890778820797</v>
      </c>
      <c r="D32" s="53">
        <f>1.6/(1+(1+4*C32*Polars!$G$13/(PI()*Polars!$G$17^2))^0.5)</f>
        <v>0.7807217435364938</v>
      </c>
      <c r="E32" s="52">
        <f>Polars!$G$23*'Thrust vs Drag'!D32</f>
        <v>45.28186112511664</v>
      </c>
      <c r="F32" s="50">
        <f>0.5*1.225*$A32^2*C32*Polars!$G$13</f>
        <v>729.4306232570506</v>
      </c>
      <c r="G32" s="152">
        <f t="shared" si="0"/>
        <v>52.519004874507644</v>
      </c>
      <c r="H32" s="151">
        <f>2*Polars!$G$18*9.81/(L$4*$F$4*'Thrust vs Drag'!$A32^2*Polars!$G$13)</f>
        <v>0.148959438635115</v>
      </c>
      <c r="I32" s="54">
        <f>Polars!$G$19+'Thrust vs Drag'!H32^2/(PI()*Polars!$G$24*Polars!$G$28)</f>
        <v>0.01234554364092069</v>
      </c>
      <c r="J32" s="53">
        <f>1.6/(1+(1+4*I32*Polars!$G$13/(PI()*Polars!$G$17^2))^0.5)</f>
        <v>0.7806310632477793</v>
      </c>
      <c r="K32" s="52">
        <f>Polars!$G$23*'Thrust vs Drag'!J32*(L$4-(1-L$4)/7.55)</f>
        <v>42.34238155111233</v>
      </c>
      <c r="L32" s="50">
        <f>0.5*L$4*$F$4*$A32^2*I32*Polars!$G$13</f>
        <v>691.0828651951551</v>
      </c>
      <c r="M32" s="152">
        <f t="shared" si="1"/>
        <v>49.75796629405117</v>
      </c>
      <c r="N32" s="151">
        <f>2*Polars!$G$18*9.81/(R$4*$F$4*'Thrust vs Drag'!$A32^2*Polars!$G$13)</f>
        <v>0.15813214741398537</v>
      </c>
      <c r="O32" s="54">
        <f>Polars!$G$19+'Thrust vs Drag'!N32^2/(PI()*Polars!$G$24*Polars!$G$28)</f>
        <v>0.012414799890055532</v>
      </c>
      <c r="P32" s="53">
        <f>1.6/(1+(1+4*O32*Polars!$G$13/(PI()*Polars!$G$17^2))^0.5)</f>
        <v>0.7805275711803623</v>
      </c>
      <c r="Q32" s="52">
        <f>Polars!$G$23*'Thrust vs Drag'!P32*(R$4-(1-R$4)/7.55)</f>
        <v>39.533142164081845</v>
      </c>
      <c r="R32" s="50">
        <f>0.5*R$4*$F$4*$A32^2*O32*Polars!$G$13</f>
        <v>654.6474614817794</v>
      </c>
      <c r="S32" s="152">
        <f t="shared" si="2"/>
        <v>47.13461722668812</v>
      </c>
      <c r="T32" s="151">
        <f>2*Polars!$G$18*9.81/(X$4*$F$4*'Thrust vs Drag'!$A32^2*Polars!$G$13)</f>
        <v>0.16801261879317383</v>
      </c>
      <c r="U32" s="54">
        <f>Polars!$G$19+'Thrust vs Drag'!T32^2/(PI()*Polars!$G$24*Polars!$G$28)</f>
        <v>0.012494028406158606</v>
      </c>
      <c r="V32" s="53">
        <f>1.6/(1+(1+4*U32*Polars!$G$13/(PI()*Polars!$G$17^2))^0.5)</f>
        <v>0.780409243676675</v>
      </c>
      <c r="W32" s="52">
        <f>Polars!$G$23*'Thrust vs Drag'!V32*(X$4-(1-X$4)/7.55)</f>
        <v>36.850074836628444</v>
      </c>
      <c r="X32" s="50">
        <f>0.5*X$4*$F$4*$A32^2*U32*Polars!$G$13</f>
        <v>620.0811380304864</v>
      </c>
      <c r="Y32" s="152">
        <f t="shared" si="3"/>
        <v>44.64584193819502</v>
      </c>
    </row>
    <row r="33" spans="1:25" ht="9" customHeight="1">
      <c r="A33" s="150">
        <v>74</v>
      </c>
      <c r="B33" s="151">
        <f>2*Polars!$G$18*9.81/(F$4*'Thrust vs Drag'!$A33^2*Polars!$G$13)</f>
        <v>0.13294646499279703</v>
      </c>
      <c r="C33" s="54">
        <f>Polars!$G$19+'Thrust vs Drag'!B33^2/(PI()*Polars!$G$24*Polars!$G$28)</f>
        <v>0.012234557282090426</v>
      </c>
      <c r="D33" s="53">
        <f>1.6/(1+(1+4*C33*Polars!$G$13/(PI()*Polars!$G$17^2))^0.5)</f>
        <v>0.780797027273593</v>
      </c>
      <c r="E33" s="52">
        <f>Polars!$G$23*'Thrust vs Drag'!D33</f>
        <v>45.286227581868395</v>
      </c>
      <c r="F33" s="50">
        <f>0.5*1.225*$A33^2*C33*Polars!$G$13</f>
        <v>767.3604251323139</v>
      </c>
      <c r="G33" s="152">
        <f t="shared" si="0"/>
        <v>56.78467145979123</v>
      </c>
      <c r="H33" s="151">
        <f>2*Polars!$G$18*9.81/(L$4*$F$4*'Thrust vs Drag'!$A33^2*Polars!$G$13)</f>
        <v>0.14101638602710667</v>
      </c>
      <c r="I33" s="54">
        <f>Polars!$G$19+'Thrust vs Drag'!H33^2/(PI()*Polars!$G$24*Polars!$G$28)</f>
        <v>0.01228891414771124</v>
      </c>
      <c r="J33" s="53">
        <f>1.6/(1+(1+4*I33*Polars!$G$13/(PI()*Polars!$G$17^2))^0.5)</f>
        <v>0.7807157270279405</v>
      </c>
      <c r="K33" s="52">
        <f>Polars!$G$23*'Thrust vs Drag'!J33*(L$4-(1-L$4)/7.55)</f>
        <v>42.34697381787178</v>
      </c>
      <c r="L33" s="50">
        <f>0.5*L$4*$F$4*$A33^2*I33*Polars!$G$13</f>
        <v>726.6610179684567</v>
      </c>
      <c r="M33" s="152">
        <f t="shared" si="1"/>
        <v>53.7729153296658</v>
      </c>
      <c r="N33" s="151">
        <f>2*Polars!$G$18*9.81/(R$4*$F$4*'Thrust vs Drag'!$A33^2*Polars!$G$13)</f>
        <v>0.1496999730084186</v>
      </c>
      <c r="O33" s="54">
        <f>Polars!$G$19+'Thrust vs Drag'!N33^2/(PI()*Polars!$G$24*Polars!$G$28)</f>
        <v>0.012350981336254202</v>
      </c>
      <c r="P33" s="53">
        <f>1.6/(1+(1+4*O33*Polars!$G$13/(PI()*Polars!$G$17^2))^0.5)</f>
        <v>0.7806229355446931</v>
      </c>
      <c r="Q33" s="52">
        <f>Polars!$G$23*'Thrust vs Drag'!P33*(R$4-(1-R$4)/7.55)</f>
        <v>39.53797229835472</v>
      </c>
      <c r="R33" s="50">
        <f>0.5*R$4*$F$4*$A33^2*O33*Polars!$G$13</f>
        <v>687.9671104988372</v>
      </c>
      <c r="S33" s="152">
        <f t="shared" si="2"/>
        <v>50.909566176913955</v>
      </c>
      <c r="T33" s="151">
        <f>2*Polars!$G$18*9.81/(X$4*$F$4*'Thrust vs Drag'!$A33^2*Polars!$G$13)</f>
        <v>0.15905358214459703</v>
      </c>
      <c r="U33" s="54">
        <f>Polars!$G$19+'Thrust vs Drag'!T33^2/(PI()*Polars!$G$24*Polars!$G$28)</f>
        <v>0.012421985632738325</v>
      </c>
      <c r="V33" s="53">
        <f>1.6/(1+(1+4*U33*Polars!$G$13/(PI()*Polars!$G$17^2))^0.5)</f>
        <v>0.7805168363753378</v>
      </c>
      <c r="W33" s="52">
        <f>Polars!$G$23*'Thrust vs Drag'!V33*(X$4-(1-X$4)/7.55)</f>
        <v>36.855155246720614</v>
      </c>
      <c r="X33" s="50">
        <f>0.5*X$4*$F$4*$A33^2*U33*Polars!$G$13</f>
        <v>651.2316528930631</v>
      </c>
      <c r="Y33" s="152">
        <f t="shared" si="3"/>
        <v>48.191142314086676</v>
      </c>
    </row>
    <row r="34" spans="1:25" ht="9" customHeight="1">
      <c r="A34" s="150">
        <v>76</v>
      </c>
      <c r="B34" s="151">
        <f>2*Polars!$G$18*9.81/(F$4*'Thrust vs Drag'!$A34^2*Polars!$G$13)</f>
        <v>0.12604135081380827</v>
      </c>
      <c r="C34" s="54">
        <f>Polars!$G$19+'Thrust vs Drag'!B34^2/(PI()*Polars!$G$24*Polars!$G$28)</f>
        <v>0.012190588580485816</v>
      </c>
      <c r="D34" s="53">
        <f>1.6/(1+(1+4*C34*Polars!$G$13/(PI()*Polars!$G$17^2))^0.5)</f>
        <v>0.7808628146856906</v>
      </c>
      <c r="E34" s="52">
        <f>Polars!$G$23*'Thrust vs Drag'!D34</f>
        <v>45.29004325177006</v>
      </c>
      <c r="F34" s="50">
        <f>0.5*1.225*$A34^2*C34*Polars!$G$13</f>
        <v>806.4910620367989</v>
      </c>
      <c r="G34" s="152">
        <f t="shared" si="0"/>
        <v>61.29332071479672</v>
      </c>
      <c r="H34" s="151">
        <f>2*Polars!$G$18*9.81/(L$4*$F$4*'Thrust vs Drag'!$A34^2*Polars!$G$13)</f>
        <v>0.1336921277500755</v>
      </c>
      <c r="I34" s="54">
        <f>Polars!$G$19+'Thrust vs Drag'!H34^2/(PI()*Polars!$G$24*Polars!$G$28)</f>
        <v>0.012239445593951015</v>
      </c>
      <c r="J34" s="53">
        <f>1.6/(1+(1+4*I34*Polars!$G$13/(PI()*Polars!$G$17^2))^0.5)</f>
        <v>0.7807897145744987</v>
      </c>
      <c r="K34" s="52">
        <f>Polars!$G$23*'Thrust vs Drag'!J34*(L$4-(1-L$4)/7.55)</f>
        <v>42.350986992691354</v>
      </c>
      <c r="L34" s="50">
        <f>0.5*L$4*$F$4*$A34^2*I34*Polars!$G$13</f>
        <v>763.3853900204898</v>
      </c>
      <c r="M34" s="152">
        <f t="shared" si="1"/>
        <v>58.01728964155723</v>
      </c>
      <c r="N34" s="151">
        <f>2*Polars!$G$18*9.81/(R$4*$F$4*'Thrust vs Drag'!$A34^2*Polars!$G$13)</f>
        <v>0.14192469740202565</v>
      </c>
      <c r="O34" s="54">
        <f>Polars!$G$19+'Thrust vs Drag'!N34^2/(PI()*Polars!$G$24*Polars!$G$28)</f>
        <v>0.012295232796390984</v>
      </c>
      <c r="P34" s="53">
        <f>1.6/(1+(1+4*O34*Polars!$G$13/(PI()*Polars!$G$17^2))^0.5)</f>
        <v>0.7807062785491885</v>
      </c>
      <c r="Q34" s="52">
        <f>Polars!$G$23*'Thrust vs Drag'!P34*(R$4-(1-R$4)/7.55)</f>
        <v>39.54219355967431</v>
      </c>
      <c r="R34" s="50">
        <f>0.5*R$4*$F$4*$A34^2*O34*Polars!$G$13</f>
        <v>722.381661186779</v>
      </c>
      <c r="S34" s="152">
        <f t="shared" si="2"/>
        <v>54.901006250195195</v>
      </c>
      <c r="T34" s="151">
        <f>2*Polars!$G$18*9.81/(X$4*$F$4*'Thrust vs Drag'!$A34^2*Polars!$G$13)</f>
        <v>0.15079248888916436</v>
      </c>
      <c r="U34" s="54">
        <f>Polars!$G$19+'Thrust vs Drag'!T34^2/(PI()*Polars!$G$24*Polars!$G$28)</f>
        <v>0.012359052846163747</v>
      </c>
      <c r="V34" s="53">
        <f>1.6/(1+(1+4*U34*Polars!$G$13/(PI()*Polars!$G$17^2))^0.5)</f>
        <v>0.7806108717054325</v>
      </c>
      <c r="W34" s="52">
        <f>Polars!$G$23*'Thrust vs Drag'!V34*(X$4-(1-X$4)/7.55)</f>
        <v>36.859595492629225</v>
      </c>
      <c r="X34" s="50">
        <f>0.5*X$4*$F$4*$A34^2*U34*Polars!$G$13</f>
        <v>683.4290150452036</v>
      </c>
      <c r="Y34" s="152">
        <f t="shared" si="3"/>
        <v>51.94060514343548</v>
      </c>
    </row>
    <row r="35" spans="1:25" ht="9" customHeight="1">
      <c r="A35" s="150">
        <v>78</v>
      </c>
      <c r="B35" s="151">
        <f>2*Polars!$G$18*9.81/(F$4*'Thrust vs Drag'!$A35^2*Polars!$G$13)</f>
        <v>0.11966055922099877</v>
      </c>
      <c r="C35" s="54">
        <f>Polars!$G$19+'Thrust vs Drag'!B35^2/(PI()*Polars!$G$24*Polars!$G$28)</f>
        <v>0.012152042827268936</v>
      </c>
      <c r="D35" s="53">
        <f>1.6/(1+(1+4*C35*Polars!$G$13/(PI()*Polars!$G$17^2))^0.5)</f>
        <v>0.7809205061345051</v>
      </c>
      <c r="E35" s="52">
        <f>Polars!$G$23*'Thrust vs Drag'!D35</f>
        <v>45.293389355801295</v>
      </c>
      <c r="F35" s="50">
        <f>0.5*1.225*$A35^2*C35*Polars!$G$13</f>
        <v>846.8104258817473</v>
      </c>
      <c r="G35" s="152">
        <f t="shared" si="0"/>
        <v>66.0512132187763</v>
      </c>
      <c r="H35" s="151">
        <f>2*Polars!$G$18*9.81/(L$4*$F$4*'Thrust vs Drag'!$A35^2*Polars!$G$13)</f>
        <v>0.12692401871867787</v>
      </c>
      <c r="I35" s="54">
        <f>Polars!$G$19+'Thrust vs Drag'!H35^2/(PI()*Polars!$G$24*Polars!$G$28)</f>
        <v>0.01219607832142192</v>
      </c>
      <c r="J35" s="53">
        <f>1.6/(1+(1+4*I35*Polars!$G$13/(PI()*Polars!$G$17^2))^0.5)</f>
        <v>0.7808545995582085</v>
      </c>
      <c r="K35" s="52">
        <f>Polars!$G$23*'Thrust vs Drag'!J35*(L$4-(1-L$4)/7.55)</f>
        <v>42.35450643339327</v>
      </c>
      <c r="L35" s="50">
        <f>0.5*L$4*$F$4*$A35^2*I35*Polars!$G$13</f>
        <v>801.2431382950781</v>
      </c>
      <c r="M35" s="152">
        <f t="shared" si="1"/>
        <v>62.49696478701609</v>
      </c>
      <c r="N35" s="151">
        <f>2*Polars!$G$18*9.81/(R$4*$F$4*'Thrust vs Drag'!$A35^2*Polars!$G$13)</f>
        <v>0.1347398179148751</v>
      </c>
      <c r="O35" s="54">
        <f>Polars!$G$19+'Thrust vs Drag'!N35^2/(PI()*Polars!$G$24*Polars!$G$28)</f>
        <v>0.012246360089639422</v>
      </c>
      <c r="P35" s="53">
        <f>1.6/(1+(1+4*O35*Polars!$G$13/(PI()*Polars!$G$17^2))^0.5)</f>
        <v>0.7807793712560149</v>
      </c>
      <c r="Q35" s="52">
        <f>Polars!$G$23*'Thrust vs Drag'!P35*(R$4-(1-R$4)/7.55)</f>
        <v>39.54589565102485</v>
      </c>
      <c r="R35" s="50">
        <f>0.5*R$4*$F$4*$A35^2*O35*Polars!$G$13</f>
        <v>757.8774796324318</v>
      </c>
      <c r="S35" s="152">
        <f t="shared" si="2"/>
        <v>59.11444341132968</v>
      </c>
      <c r="T35" s="151">
        <f>2*Polars!$G$18*9.81/(X$4*$F$4*'Thrust vs Drag'!$A35^2*Polars!$G$13)</f>
        <v>0.14315868110187593</v>
      </c>
      <c r="U35" s="54">
        <f>Polars!$G$19+'Thrust vs Drag'!T35^2/(PI()*Polars!$G$24*Polars!$G$28)</f>
        <v>0.012303881972973805</v>
      </c>
      <c r="V35" s="53">
        <f>1.6/(1+(1+4*U35*Polars!$G$13/(PI()*Polars!$G$17^2))^0.5)</f>
        <v>0.7806933458898427</v>
      </c>
      <c r="W35" s="52">
        <f>Polars!$G$23*'Thrust vs Drag'!V35*(X$4-(1-X$4)/7.55)</f>
        <v>36.863489833825504</v>
      </c>
      <c r="X35" s="50">
        <f>0.5*X$4*$F$4*$A35^2*U35*Polars!$G$13</f>
        <v>716.6587386945245</v>
      </c>
      <c r="Y35" s="152">
        <f t="shared" si="3"/>
        <v>55.8993816181729</v>
      </c>
    </row>
    <row r="36" spans="1:25" ht="9" customHeight="1" thickBot="1">
      <c r="A36" s="153">
        <v>80</v>
      </c>
      <c r="B36" s="154">
        <f>2*Polars!$G$18*9.81/(F$4*'Thrust vs Drag'!$A36^2*Polars!$G$13)</f>
        <v>0.11375231910946197</v>
      </c>
      <c r="C36" s="155">
        <f>Polars!$G$19+'Thrust vs Drag'!B36^2/(PI()*Polars!$G$24*Polars!$G$28)</f>
        <v>0.012118136839984325</v>
      </c>
      <c r="D36" s="156">
        <f>1.6/(1+(1+4*C36*Polars!$G$13/(PI()*Polars!$G$17^2))^0.5)</f>
        <v>0.7809712671763424</v>
      </c>
      <c r="E36" s="157">
        <f>Polars!$G$23*'Thrust vs Drag'!D36</f>
        <v>45.29633349622786</v>
      </c>
      <c r="F36" s="158">
        <f>0.5*1.225*$A36^2*C36*Polars!$G$13</f>
        <v>888.307902918211</v>
      </c>
      <c r="G36" s="159">
        <f t="shared" si="0"/>
        <v>71.06463223345688</v>
      </c>
      <c r="H36" s="154">
        <f>2*Polars!$G$18*9.81/(L$4*$F$4*'Thrust vs Drag'!$A36^2*Polars!$G$13)</f>
        <v>0.12065714529444316</v>
      </c>
      <c r="I36" s="155">
        <f>Polars!$G$19+'Thrust vs Drag'!H36^2/(PI()*Polars!$G$24*Polars!$G$28)</f>
        <v>0.012157931182808064</v>
      </c>
      <c r="J36" s="156">
        <f>1.6/(1+(1+4*I36*Polars!$G$13/(PI()*Polars!$G$17^2))^0.5)</f>
        <v>0.7809116919392411</v>
      </c>
      <c r="K36" s="157">
        <f>Polars!$G$23*'Thrust vs Drag'!J36*(L$4-(1-L$4)/7.55)</f>
        <v>42.357603193815905</v>
      </c>
      <c r="L36" s="158">
        <f>0.5*L$4*$F$4*$A36^2*I36*Polars!$G$13</f>
        <v>840.2230047830747</v>
      </c>
      <c r="M36" s="159">
        <f t="shared" si="1"/>
        <v>67.21784038264597</v>
      </c>
      <c r="N36" s="154">
        <f>2*Polars!$G$18*9.81/(R$4*$F$4*'Thrust vs Drag'!$A36^2*Polars!$G$13)</f>
        <v>0.12808703940532817</v>
      </c>
      <c r="O36" s="155">
        <f>Polars!$G$19+'Thrust vs Drag'!N36^2/(PI()*Polars!$G$24*Polars!$G$28)</f>
        <v>0.012203370207865435</v>
      </c>
      <c r="P36" s="156">
        <f>1.6/(1+(1+4*O36*Polars!$G$13/(PI()*Polars!$G$17^2))^0.5)</f>
        <v>0.7808436881368567</v>
      </c>
      <c r="Q36" s="157">
        <f>Polars!$G$23*'Thrust vs Drag'!P36*(R$4-(1-R$4)/7.55)</f>
        <v>39.549153253302784</v>
      </c>
      <c r="R36" s="158">
        <f>0.5*R$4*$F$4*$A36^2*O36*Polars!$G$13</f>
        <v>794.4426145745781</v>
      </c>
      <c r="S36" s="159">
        <f t="shared" si="2"/>
        <v>63.55540916596625</v>
      </c>
      <c r="T36" s="154">
        <f>2*Polars!$G$18*9.81/(X$4*$F$4*'Thrust vs Drag'!$A36^2*Polars!$G$13)</f>
        <v>0.13609022122247083</v>
      </c>
      <c r="U36" s="155">
        <f>Polars!$G$19+'Thrust vs Drag'!T36^2/(PI()*Polars!$G$24*Polars!$G$28)</f>
        <v>0.012255352037280662</v>
      </c>
      <c r="V36" s="156">
        <f>1.6/(1+(1+4*U36*Polars!$G$13/(PI()*Polars!$G$17^2))^0.5)</f>
        <v>0.7807659211100421</v>
      </c>
      <c r="W36" s="157">
        <f>Polars!$G$23*'Thrust vs Drag'!V36*(X$4-(1-X$4)/7.55)</f>
        <v>36.866916756708974</v>
      </c>
      <c r="X36" s="158">
        <f>0.5*X$4*$F$4*$A36^2*U36*Polars!$G$13</f>
        <v>750.9081258366805</v>
      </c>
      <c r="Y36" s="159">
        <f t="shared" si="3"/>
        <v>60.072650066934436</v>
      </c>
    </row>
    <row r="37" ht="9" customHeight="1" thickBot="1"/>
    <row r="38" spans="1:25" ht="12.75">
      <c r="A38" s="451" t="s">
        <v>239</v>
      </c>
      <c r="B38" s="134" t="s">
        <v>109</v>
      </c>
      <c r="C38" s="135">
        <v>8000</v>
      </c>
      <c r="D38" s="136" t="s">
        <v>110</v>
      </c>
      <c r="E38" s="137" t="s">
        <v>112</v>
      </c>
      <c r="F38" s="139">
        <f>(1-'Climb + Ceiling'!$O$109*'Thrust vs Drag'!C38)^4.25588</f>
        <v>0.7860159102451815</v>
      </c>
      <c r="G38" s="138"/>
      <c r="H38" s="134" t="s">
        <v>109</v>
      </c>
      <c r="I38" s="135">
        <f>C38+2000</f>
        <v>10000</v>
      </c>
      <c r="J38" s="136" t="s">
        <v>110</v>
      </c>
      <c r="K38" s="137" t="s">
        <v>112</v>
      </c>
      <c r="L38" s="139">
        <f>(1-'Climb + Ceiling'!$O$109*'Thrust vs Drag'!I38)^4.25588</f>
        <v>0.7384786017240254</v>
      </c>
      <c r="M38" s="138"/>
      <c r="N38" s="134" t="s">
        <v>109</v>
      </c>
      <c r="O38" s="135">
        <f>I38+2000</f>
        <v>12000</v>
      </c>
      <c r="P38" s="136" t="s">
        <v>110</v>
      </c>
      <c r="Q38" s="137" t="s">
        <v>112</v>
      </c>
      <c r="R38" s="139">
        <f>(1-'Climb + Ceiling'!$O$109*'Thrust vs Drag'!O38)^4.25588</f>
        <v>0.6931726666375141</v>
      </c>
      <c r="S38" s="138"/>
      <c r="T38" s="134" t="s">
        <v>109</v>
      </c>
      <c r="U38" s="135">
        <f>O38+2000</f>
        <v>14000</v>
      </c>
      <c r="V38" s="136" t="s">
        <v>110</v>
      </c>
      <c r="W38" s="137" t="s">
        <v>112</v>
      </c>
      <c r="X38" s="139">
        <f>(1-'Climb + Ceiling'!$O$109*'Thrust vs Drag'!U38)^4.25588</f>
        <v>0.6500244664834116</v>
      </c>
      <c r="Y38" s="138"/>
    </row>
    <row r="39" spans="1:25" ht="21.75" customHeight="1" thickBot="1">
      <c r="A39" s="452"/>
      <c r="B39" s="140" t="s">
        <v>240</v>
      </c>
      <c r="C39" s="141" t="s">
        <v>241</v>
      </c>
      <c r="D39" s="141" t="s">
        <v>238</v>
      </c>
      <c r="E39" s="141" t="s">
        <v>243</v>
      </c>
      <c r="F39" s="141" t="s">
        <v>257</v>
      </c>
      <c r="G39" s="142" t="s">
        <v>242</v>
      </c>
      <c r="H39" s="140" t="s">
        <v>240</v>
      </c>
      <c r="I39" s="141" t="s">
        <v>241</v>
      </c>
      <c r="J39" s="141" t="s">
        <v>238</v>
      </c>
      <c r="K39" s="141" t="s">
        <v>243</v>
      </c>
      <c r="L39" s="141" t="s">
        <v>257</v>
      </c>
      <c r="M39" s="142" t="s">
        <v>242</v>
      </c>
      <c r="N39" s="140" t="s">
        <v>240</v>
      </c>
      <c r="O39" s="141" t="s">
        <v>241</v>
      </c>
      <c r="P39" s="141" t="s">
        <v>238</v>
      </c>
      <c r="Q39" s="141" t="s">
        <v>243</v>
      </c>
      <c r="R39" s="141" t="s">
        <v>257</v>
      </c>
      <c r="S39" s="142" t="s">
        <v>242</v>
      </c>
      <c r="T39" s="140" t="s">
        <v>240</v>
      </c>
      <c r="U39" s="141" t="s">
        <v>241</v>
      </c>
      <c r="V39" s="141" t="s">
        <v>238</v>
      </c>
      <c r="W39" s="141" t="s">
        <v>243</v>
      </c>
      <c r="X39" s="141" t="s">
        <v>257</v>
      </c>
      <c r="Y39" s="142" t="s">
        <v>242</v>
      </c>
    </row>
    <row r="40" spans="1:25" ht="9" customHeight="1">
      <c r="A40" s="160">
        <v>20</v>
      </c>
      <c r="B40" s="161">
        <f>2*Polars!$G$18*9.81/(F$38*$F$4*'Thrust vs Drag'!$A40^2*Polars!$G$13)</f>
        <v>2.3155219659404453</v>
      </c>
      <c r="C40" s="162">
        <f>Polars!$G$19+'Thrust vs Drag'!B40^2/(PI()*Polars!$G$24*Polars!$G$28)</f>
        <v>0.14362301923215984</v>
      </c>
      <c r="D40" s="163">
        <f>1.6/(1+(1+4*C40*Polars!$G$13/(PI()*Polars!$G$17^2))^0.5)</f>
        <v>0.6457904684720916</v>
      </c>
      <c r="E40" s="164">
        <f>Polars!$G$23*'Thrust vs Drag'!D40*(F$38-(1-F$38)/7.55)</f>
        <v>28.37930831663443</v>
      </c>
      <c r="F40" s="165">
        <f>0.5*F$38*$F$4*$A40^2*C40*Polars!$G$13</f>
        <v>517.205435095478</v>
      </c>
      <c r="G40" s="166">
        <f aca="true" t="shared" si="4" ref="G40:G70">F40*$A40/1000</f>
        <v>10.344108701909562</v>
      </c>
      <c r="H40" s="161">
        <f>2*Polars!$G$18*9.81/(L$38*$F$4*'Thrust vs Drag'!$A40^2*Polars!$G$13)</f>
        <v>2.4645766329618746</v>
      </c>
      <c r="I40" s="162">
        <f>Polars!$G$19+'Thrust vs Drag'!H40^2/(PI()*Polars!$G$24*Polars!$G$28)</f>
        <v>0.16114067054322714</v>
      </c>
      <c r="J40" s="163">
        <f>1.6/(1+(1+4*I40*Polars!$G$13/(PI()*Polars!$G$17^2))^0.5)</f>
        <v>0.633502997569069</v>
      </c>
      <c r="K40" s="164">
        <f>Polars!$G$23*'Thrust vs Drag'!J40*(L$38-(1-L$38)/7.55)</f>
        <v>25.861315706658537</v>
      </c>
      <c r="L40" s="165">
        <f>0.5*L$38*$F$4*$A40^2*I40*Polars!$G$13</f>
        <v>545.1936301570402</v>
      </c>
      <c r="M40" s="167">
        <f aca="true" t="shared" si="5" ref="M40:M70">L40*$A40/1000</f>
        <v>10.903872603140805</v>
      </c>
      <c r="N40" s="161">
        <f>2*Polars!$G$18*9.81/(R$38*$F$4*'Thrust vs Drag'!$A40^2*Polars!$G$13)</f>
        <v>2.625661964687879</v>
      </c>
      <c r="O40" s="162">
        <f>Polars!$G$19+'Thrust vs Drag'!N40^2/(PI()*Polars!$G$24*Polars!$G$28)</f>
        <v>0.18130053368079543</v>
      </c>
      <c r="P40" s="163">
        <f>1.6/(1+(1+4*O40*Polars!$G$13/(PI()*Polars!$G$17^2))^0.5)</f>
        <v>0.6203632703109655</v>
      </c>
      <c r="Q40" s="164">
        <f>Polars!$G$23*'Thrust vs Drag'!P40*(R$38-(1-R$38)/7.55)</f>
        <v>23.47884558529487</v>
      </c>
      <c r="R40" s="165">
        <f>0.5*R$38*$F$4*$A40^2*O40*Polars!$G$13</f>
        <v>575.7688995875835</v>
      </c>
      <c r="S40" s="167">
        <f aca="true" t="shared" si="6" ref="S40:S70">R40*$A40/1000</f>
        <v>11.51537799175167</v>
      </c>
      <c r="T40" s="161">
        <f>2*Polars!$G$18*9.81/(X$38*$F$4*'Thrust vs Drag'!$A40^2*Polars!$G$13)</f>
        <v>2.7999516935072752</v>
      </c>
      <c r="U40" s="162">
        <f>Polars!$G$19+'Thrust vs Drag'!T40^2/(PI()*Polars!$G$24*Polars!$G$28)</f>
        <v>0.2045500597150897</v>
      </c>
      <c r="V40" s="163">
        <f>1.6/(1+(1+4*U40*Polars!$G$13/(PI()*Polars!$G$17^2))^0.5)</f>
        <v>0.6063682906755911</v>
      </c>
      <c r="W40" s="164">
        <f>Polars!$G$23*'Thrust vs Drag'!V40*(X$38-(1-X$38)/7.55)</f>
        <v>21.230691276718684</v>
      </c>
      <c r="X40" s="165">
        <f>0.5*X$38*$F$4*$A40^2*U40*Polars!$G$13</f>
        <v>609.1678927495195</v>
      </c>
      <c r="Y40" s="167">
        <f aca="true" t="shared" si="7" ref="Y40:Y70">X40*$A40/1000</f>
        <v>12.18335785499039</v>
      </c>
    </row>
    <row r="41" spans="1:25" ht="9" customHeight="1">
      <c r="A41" s="168">
        <v>22</v>
      </c>
      <c r="B41" s="151">
        <f>2*Polars!$G$18*9.81/(F$38*$F$4*'Thrust vs Drag'!$A41^2*Polars!$G$13)</f>
        <v>1.9136545173061534</v>
      </c>
      <c r="C41" s="54">
        <f>Polars!$G$19+'Thrust vs Drag'!B41^2/(PI()*Polars!$G$24*Polars!$G$28)</f>
        <v>0.10183689586241369</v>
      </c>
      <c r="D41" s="53">
        <f>1.6/(1+(1+4*C41*Polars!$G$13/(PI()*Polars!$G$17^2))^0.5)</f>
        <v>0.6790896907394751</v>
      </c>
      <c r="E41" s="52">
        <f>Polars!$G$23*'Thrust vs Drag'!D41*(F$38-(1-F$38)/7.55)</f>
        <v>29.842645020358255</v>
      </c>
      <c r="F41" s="50">
        <f>0.5*F$38*$F$4*$A41^2*C41*Polars!$G$13</f>
        <v>443.7409931987654</v>
      </c>
      <c r="G41" s="169">
        <f t="shared" si="4"/>
        <v>9.762301850372838</v>
      </c>
      <c r="H41" s="151">
        <f>2*Polars!$G$18*9.81/(L$38*$F$4*'Thrust vs Drag'!$A41^2*Polars!$G$13)</f>
        <v>2.036840192530475</v>
      </c>
      <c r="I41" s="54">
        <f>Polars!$G$19+'Thrust vs Drag'!H41^2/(PI()*Polars!$G$24*Polars!$G$28)</f>
        <v>0.1138016874142662</v>
      </c>
      <c r="J41" s="53">
        <f>1.6/(1+(1+4*I41*Polars!$G$13/(PI()*Polars!$G$17^2))^0.5)</f>
        <v>0.6689060056837006</v>
      </c>
      <c r="K41" s="52">
        <f>Polars!$G$23*'Thrust vs Drag'!J41*(L$38-(1-L$38)/7.55)</f>
        <v>27.306562806247925</v>
      </c>
      <c r="L41" s="50">
        <f>0.5*L$38*$F$4*$A41^2*I41*Polars!$G$13</f>
        <v>465.88601991644026</v>
      </c>
      <c r="M41" s="152">
        <f t="shared" si="5"/>
        <v>10.249492438161685</v>
      </c>
      <c r="N41" s="151">
        <f>2*Polars!$G$18*9.81/(R$38*$F$4*'Thrust vs Drag'!$A41^2*Polars!$G$13)</f>
        <v>2.169968565857751</v>
      </c>
      <c r="O41" s="54">
        <f>Polars!$G$19+'Thrust vs Drag'!N41^2/(PI()*Polars!$G$24*Polars!$G$28)</f>
        <v>0.12757114519554363</v>
      </c>
      <c r="P41" s="53">
        <f>1.6/(1+(1+4*O41*Polars!$G$13/(PI()*Polars!$G$17^2))^0.5)</f>
        <v>0.6578583983029885</v>
      </c>
      <c r="Q41" s="52">
        <f>Polars!$G$23*'Thrust vs Drag'!P41*(R$38-(1-R$38)/7.55)</f>
        <v>24.897921089046555</v>
      </c>
      <c r="R41" s="50">
        <f>0.5*R$38*$F$4*$A41^2*O41*Polars!$G$13</f>
        <v>490.2153934163363</v>
      </c>
      <c r="S41" s="152">
        <f t="shared" si="6"/>
        <v>10.7847386551594</v>
      </c>
      <c r="T41" s="151">
        <f>2*Polars!$G$18*9.81/(X$38*$F$4*'Thrust vs Drag'!$A41^2*Polars!$G$13)</f>
        <v>2.314009664055599</v>
      </c>
      <c r="U41" s="54">
        <f>Polars!$G$19+'Thrust vs Drag'!T41^2/(PI()*Polars!$G$24*Polars!$G$28)</f>
        <v>0.14345088430782707</v>
      </c>
      <c r="V41" s="53">
        <f>1.6/(1+(1+4*U41*Polars!$G$13/(PI()*Polars!$G$17^2))^0.5)</f>
        <v>0.645915597687799</v>
      </c>
      <c r="W41" s="52">
        <f>Polars!$G$23*'Thrust vs Drag'!V41*(X$38-(1-X$38)/7.55)</f>
        <v>22.615355809665044</v>
      </c>
      <c r="X41" s="50">
        <f>0.5*X$38*$F$4*$A41^2*U41*Polars!$G$13</f>
        <v>516.9231647478874</v>
      </c>
      <c r="Y41" s="152">
        <f t="shared" si="7"/>
        <v>11.372309624453523</v>
      </c>
    </row>
    <row r="42" spans="1:25" ht="9" customHeight="1">
      <c r="A42" s="168">
        <v>24</v>
      </c>
      <c r="B42" s="151">
        <f>2*Polars!$G$18*9.81/(F$38*$F$4*'Thrust vs Drag'!$A42^2*Polars!$G$13)</f>
        <v>1.6080013652364202</v>
      </c>
      <c r="C42" s="54">
        <f>Polars!$G$19+'Thrust vs Drag'!B42^2/(PI()*Polars!$G$24*Polars!$G$28)</f>
        <v>0.07537205788587956</v>
      </c>
      <c r="D42" s="53">
        <f>1.6/(1+(1+4*C42*Polars!$G$13/(PI()*Polars!$G$17^2))^0.5)</f>
        <v>0.703863002800718</v>
      </c>
      <c r="E42" s="52">
        <f>Polars!$G$23*'Thrust vs Drag'!D42*(F$38-(1-F$38)/7.55)</f>
        <v>30.931309990396585</v>
      </c>
      <c r="F42" s="50">
        <f>0.5*F$38*$F$4*$A42^2*C42*Polars!$G$13</f>
        <v>390.8515989282145</v>
      </c>
      <c r="G42" s="169">
        <f t="shared" si="4"/>
        <v>9.380438374277148</v>
      </c>
      <c r="H42" s="151">
        <f>2*Polars!$G$18*9.81/(L$38*$F$4*'Thrust vs Drag'!$A42^2*Polars!$G$13)</f>
        <v>1.7115115506679683</v>
      </c>
      <c r="I42" s="54">
        <f>Polars!$G$19+'Thrust vs Drag'!H42^2/(PI()*Polars!$G$24*Polars!$G$28)</f>
        <v>0.0838199992974668</v>
      </c>
      <c r="J42" s="53">
        <f>1.6/(1+(1+4*I42*Polars!$G$13/(PI()*Polars!$G$17^2))^0.5)</f>
        <v>0.695587019161377</v>
      </c>
      <c r="K42" s="52">
        <f>Polars!$G$23*'Thrust vs Drag'!J42*(L$38-(1-L$38)/7.55)</f>
        <v>28.39575435793363</v>
      </c>
      <c r="L42" s="50">
        <f>0.5*L$38*$F$4*$A42^2*I42*Polars!$G$13</f>
        <v>408.3718067045165</v>
      </c>
      <c r="M42" s="152">
        <f t="shared" si="5"/>
        <v>9.800923360908396</v>
      </c>
      <c r="N42" s="151">
        <f>2*Polars!$G$18*9.81/(R$38*$F$4*'Thrust vs Drag'!$A42^2*Polars!$G$13)</f>
        <v>1.8233763643665828</v>
      </c>
      <c r="O42" s="54">
        <f>Polars!$G$19+'Thrust vs Drag'!N42^2/(PI()*Polars!$G$24*Polars!$G$28)</f>
        <v>0.09354215551735894</v>
      </c>
      <c r="P42" s="53">
        <f>1.6/(1+(1+4*O42*Polars!$G$13/(PI()*Polars!$G$17^2))^0.5)</f>
        <v>0.6865006876052342</v>
      </c>
      <c r="Q42" s="52">
        <f>Polars!$G$23*'Thrust vs Drag'!P42*(R$38-(1-R$38)/7.55)</f>
        <v>25.9819438220489</v>
      </c>
      <c r="R42" s="50">
        <f>0.5*R$38*$F$4*$A42^2*O42*Polars!$G$13</f>
        <v>427.7785316431146</v>
      </c>
      <c r="S42" s="152">
        <f t="shared" si="6"/>
        <v>10.266684759434751</v>
      </c>
      <c r="T42" s="151">
        <f>2*Polars!$G$18*9.81/(X$38*$F$4*'Thrust vs Drag'!$A42^2*Polars!$G$13)</f>
        <v>1.944410898268941</v>
      </c>
      <c r="U42" s="54">
        <f>Polars!$G$19+'Thrust vs Drag'!T42^2/(PI()*Polars!$G$24*Polars!$G$28)</f>
        <v>0.10475431120519371</v>
      </c>
      <c r="V42" s="53">
        <f>1.6/(1+(1+4*U42*Polars!$G$13/(PI()*Polars!$G$17^2))^0.5)</f>
        <v>0.6765532253772248</v>
      </c>
      <c r="W42" s="52">
        <f>Polars!$G$23*'Thrust vs Drag'!V42*(X$38-(1-X$38)/7.55)</f>
        <v>23.688066940717977</v>
      </c>
      <c r="X42" s="50">
        <f>0.5*X$38*$F$4*$A42^2*U42*Polars!$G$13</f>
        <v>449.233145505488</v>
      </c>
      <c r="Y42" s="152">
        <f t="shared" si="7"/>
        <v>10.78159549213171</v>
      </c>
    </row>
    <row r="43" spans="1:25" ht="9" customHeight="1">
      <c r="A43" s="168">
        <v>26</v>
      </c>
      <c r="B43" s="151">
        <f>2*Polars!$G$18*9.81/(F$38*$F$4*'Thrust vs Drag'!$A43^2*Polars!$G$13)</f>
        <v>1.370131340793163</v>
      </c>
      <c r="C43" s="54">
        <f>Polars!$G$19+'Thrust vs Drag'!B43^2/(PI()*Polars!$G$24*Polars!$G$28)</f>
        <v>0.05795490327094985</v>
      </c>
      <c r="D43" s="53">
        <f>1.6/(1+(1+4*C43*Polars!$G$13/(PI()*Polars!$G$17^2))^0.5)</f>
        <v>0.7221809173977828</v>
      </c>
      <c r="E43" s="52">
        <f>Polars!$G$23*'Thrust vs Drag'!D43*(F$38-(1-F$38)/7.55)</f>
        <v>31.73629205725462</v>
      </c>
      <c r="F43" s="50">
        <f>0.5*F$38*$F$4*$A43^2*C43*Polars!$G$13</f>
        <v>352.70849336608853</v>
      </c>
      <c r="G43" s="169">
        <f t="shared" si="4"/>
        <v>9.170420827518301</v>
      </c>
      <c r="H43" s="151">
        <f>2*Polars!$G$18*9.81/(L$38*$F$4*'Thrust vs Drag'!$A43^2*Polars!$G$13)</f>
        <v>1.4583293686164938</v>
      </c>
      <c r="I43" s="54">
        <f>Polars!$G$19+'Thrust vs Drag'!H43^2/(PI()*Polars!$G$24*Polars!$G$28)</f>
        <v>0.06408831992690281</v>
      </c>
      <c r="J43" s="53">
        <f>1.6/(1+(1+4*I43*Polars!$G$13/(PI()*Polars!$G$17^2))^0.5)</f>
        <v>0.7155243367352477</v>
      </c>
      <c r="K43" s="52">
        <f>Polars!$G$23*'Thrust vs Drag'!J43*(L$38-(1-L$38)/7.55)</f>
        <v>29.209649897655318</v>
      </c>
      <c r="L43" s="50">
        <f>0.5*L$38*$F$4*$A43^2*I43*Polars!$G$13</f>
        <v>366.447023018854</v>
      </c>
      <c r="M43" s="152">
        <f t="shared" si="5"/>
        <v>9.527622598490204</v>
      </c>
      <c r="N43" s="151">
        <f>2*Polars!$G$18*9.81/(R$38*$F$4*'Thrust vs Drag'!$A43^2*Polars!$G$13)</f>
        <v>1.5536461329514077</v>
      </c>
      <c r="O43" s="54">
        <f>Polars!$G$19+'Thrust vs Drag'!N43^2/(PI()*Polars!$G$24*Polars!$G$28)</f>
        <v>0.07114684838794001</v>
      </c>
      <c r="P43" s="53">
        <f>1.6/(1+(1+4*O43*Polars!$G$13/(PI()*Polars!$G$17^2))^0.5)</f>
        <v>0.7081448059455622</v>
      </c>
      <c r="Q43" s="52">
        <f>Polars!$G$23*'Thrust vs Drag'!P43*(R$38-(1-R$38)/7.55)</f>
        <v>26.801107264925975</v>
      </c>
      <c r="R43" s="50">
        <f>0.5*R$38*$F$4*$A43^2*O43*Polars!$G$13</f>
        <v>381.84885393165183</v>
      </c>
      <c r="S43" s="152">
        <f t="shared" si="6"/>
        <v>9.928070202222948</v>
      </c>
      <c r="T43" s="151">
        <f>2*Polars!$G$18*9.81/(X$38*$F$4*'Thrust vs Drag'!$A43^2*Polars!$G$13)</f>
        <v>1.6567761500043048</v>
      </c>
      <c r="U43" s="54">
        <f>Polars!$G$19+'Thrust vs Drag'!T43^2/(PI()*Polars!$G$24*Polars!$G$28)</f>
        <v>0.07928715371138605</v>
      </c>
      <c r="V43" s="53">
        <f>1.6/(1+(1+4*U43*Polars!$G$13/(PI()*Polars!$G$17^2))^0.5)</f>
        <v>0.6999815861858154</v>
      </c>
      <c r="W43" s="52">
        <f>Polars!$G$23*'Thrust vs Drag'!V43*(X$38-(1-X$38)/7.55)</f>
        <v>24.50836098164248</v>
      </c>
      <c r="X43" s="50">
        <f>0.5*X$38*$F$4*$A43^2*U43*Polars!$G$13</f>
        <v>399.0496430194717</v>
      </c>
      <c r="Y43" s="152">
        <f t="shared" si="7"/>
        <v>10.375290718506266</v>
      </c>
    </row>
    <row r="44" spans="1:25" ht="9" customHeight="1">
      <c r="A44" s="168">
        <v>28</v>
      </c>
      <c r="B44" s="151">
        <f>2*Polars!$G$18*9.81/(F$38*$F$4*'Thrust vs Drag'!$A44^2*Polars!$G$13)</f>
        <v>1.1813887581328804</v>
      </c>
      <c r="C44" s="54">
        <f>Polars!$G$19+'Thrust vs Drag'!B44^2/(PI()*Polars!$G$24*Polars!$G$28)</f>
        <v>0.046114613502748814</v>
      </c>
      <c r="D44" s="53">
        <f>1.6/(1+(1+4*C44*Polars!$G$13/(PI()*Polars!$G$17^2))^0.5)</f>
        <v>0.7357336397198662</v>
      </c>
      <c r="E44" s="52">
        <f>Polars!$G$23*'Thrust vs Drag'!D44*(F$38-(1-F$38)/7.55)</f>
        <v>32.33186740883595</v>
      </c>
      <c r="F44" s="50">
        <f>0.5*F$38*$F$4*$A44^2*C44*Polars!$G$13</f>
        <v>325.48701860037517</v>
      </c>
      <c r="G44" s="169">
        <f t="shared" si="4"/>
        <v>9.113636520810505</v>
      </c>
      <c r="H44" s="151">
        <f>2*Polars!$G$18*9.81/(L$38*$F$4*'Thrust vs Drag'!$A44^2*Polars!$G$13)</f>
        <v>1.2574370576336094</v>
      </c>
      <c r="I44" s="54">
        <f>Polars!$G$19+'Thrust vs Drag'!H44^2/(PI()*Polars!$G$24*Polars!$G$28)</f>
        <v>0.05067460186985295</v>
      </c>
      <c r="J44" s="53">
        <f>1.6/(1+(1+4*I44*Polars!$G$13/(PI()*Polars!$G$17^2))^0.5)</f>
        <v>0.7303991198253705</v>
      </c>
      <c r="K44" s="52">
        <f>Polars!$G$23*'Thrust vs Drag'!J44*(L$38-(1-L$38)/7.55)</f>
        <v>29.81687900791662</v>
      </c>
      <c r="L44" s="50">
        <f>0.5*L$38*$F$4*$A44^2*I44*Polars!$G$13</f>
        <v>336.04081025492655</v>
      </c>
      <c r="M44" s="152">
        <f t="shared" si="5"/>
        <v>9.409142687137944</v>
      </c>
      <c r="N44" s="151">
        <f>2*Polars!$G$18*9.81/(R$38*$F$4*'Thrust vs Drag'!$A44^2*Polars!$G$13)</f>
        <v>1.339623451371367</v>
      </c>
      <c r="O44" s="54">
        <f>Polars!$G$19+'Thrust vs Drag'!N44^2/(PI()*Polars!$G$24*Polars!$G$28)</f>
        <v>0.05592237965451777</v>
      </c>
      <c r="P44" s="53">
        <f>1.6/(1+(1+4*O44*Polars!$G$13/(PI()*Polars!$G$17^2))^0.5)</f>
        <v>0.7244396484304266</v>
      </c>
      <c r="Q44" s="52">
        <f>Polars!$G$23*'Thrust vs Drag'!P44*(R$38-(1-R$38)/7.55)</f>
        <v>27.41781703619767</v>
      </c>
      <c r="R44" s="50">
        <f>0.5*R$38*$F$4*$A44^2*O44*Polars!$G$13</f>
        <v>348.0894293630334</v>
      </c>
      <c r="S44" s="152">
        <f t="shared" si="6"/>
        <v>9.746504022164935</v>
      </c>
      <c r="T44" s="151">
        <f>2*Polars!$G$18*9.81/(X$38*$F$4*'Thrust vs Drag'!$A44^2*Polars!$G$13)</f>
        <v>1.4285467824016709</v>
      </c>
      <c r="U44" s="54">
        <f>Polars!$G$19+'Thrust vs Drag'!T44^2/(PI()*Polars!$G$24*Polars!$G$28)</f>
        <v>0.06197442204162059</v>
      </c>
      <c r="V44" s="53">
        <f>1.6/(1+(1+4*U44*Polars!$G$13/(PI()*Polars!$G$17^2))^0.5)</f>
        <v>0.7177920717370454</v>
      </c>
      <c r="W44" s="52">
        <f>Polars!$G$23*'Thrust vs Drag'!V44*(X$38-(1-X$38)/7.55)</f>
        <v>25.131957112972707</v>
      </c>
      <c r="X44" s="50">
        <f>0.5*X$38*$F$4*$A44^2*U44*Polars!$G$13</f>
        <v>361.74784372497345</v>
      </c>
      <c r="Y44" s="152">
        <f t="shared" si="7"/>
        <v>10.128939624299257</v>
      </c>
    </row>
    <row r="45" spans="1:25" ht="9" customHeight="1">
      <c r="A45" s="168">
        <v>30</v>
      </c>
      <c r="B45" s="151">
        <f>2*Polars!$G$18*9.81/(F$38*$F$4*'Thrust vs Drag'!$A45^2*Polars!$G$13)</f>
        <v>1.0291208737513091</v>
      </c>
      <c r="C45" s="54">
        <f>Polars!$G$19+'Thrust vs Drag'!B45^2/(PI()*Polars!$G$24*Polars!$G$28)</f>
        <v>0.03783911491005627</v>
      </c>
      <c r="D45" s="53">
        <f>1.6/(1+(1+4*C45*Polars!$G$13/(PI()*Polars!$G$17^2))^0.5)</f>
        <v>0.7458119471732098</v>
      </c>
      <c r="E45" s="52">
        <f>Polars!$G$23*'Thrust vs Drag'!D45*(F$38-(1-F$38)/7.55)</f>
        <v>32.77475935055966</v>
      </c>
      <c r="F45" s="50">
        <f>0.5*F$38*$F$4*$A45^2*C45*Polars!$G$13</f>
        <v>306.59319786934094</v>
      </c>
      <c r="G45" s="169">
        <f t="shared" si="4"/>
        <v>9.19779593608023</v>
      </c>
      <c r="H45" s="151">
        <f>2*Polars!$G$18*9.81/(L$38*$F$4*'Thrust vs Drag'!$A45^2*Polars!$G$13)</f>
        <v>1.0953673924274998</v>
      </c>
      <c r="I45" s="54">
        <f>Polars!$G$19+'Thrust vs Drag'!H45^2/(PI()*Polars!$G$24*Polars!$G$28)</f>
        <v>0.041299391712242395</v>
      </c>
      <c r="J45" s="53">
        <f>1.6/(1+(1+4*I45*Polars!$G$13/(PI()*Polars!$G$17^2))^0.5)</f>
        <v>0.741533265746001</v>
      </c>
      <c r="K45" s="52">
        <f>Polars!$G$23*'Thrust vs Drag'!J45*(L$38-(1-L$38)/7.55)</f>
        <v>30.271405133100473</v>
      </c>
      <c r="L45" s="50">
        <f>0.5*L$38*$F$4*$A45^2*I45*Polars!$G$13</f>
        <v>314.39221230544956</v>
      </c>
      <c r="M45" s="152">
        <f t="shared" si="5"/>
        <v>9.431766369163487</v>
      </c>
      <c r="N45" s="151">
        <f>2*Polars!$G$18*9.81/(R$38*$F$4*'Thrust vs Drag'!$A45^2*Polars!$G$13)</f>
        <v>1.1669608731946128</v>
      </c>
      <c r="O45" s="54">
        <f>Polars!$G$19+'Thrust vs Drag'!N45^2/(PI()*Polars!$G$24*Polars!$G$28)</f>
        <v>0.0452815868999102</v>
      </c>
      <c r="P45" s="53">
        <f>1.6/(1+(1+4*O45*Polars!$G$13/(PI()*Polars!$G$17^2))^0.5)</f>
        <v>0.7367244773429286</v>
      </c>
      <c r="Q45" s="52">
        <f>Polars!$G$23*'Thrust vs Drag'!P45*(R$38-(1-R$38)/7.55)</f>
        <v>27.882760102433387</v>
      </c>
      <c r="R45" s="50">
        <f>0.5*R$38*$F$4*$A45^2*O45*Polars!$G$13</f>
        <v>323.5588450632933</v>
      </c>
      <c r="S45" s="152">
        <f t="shared" si="6"/>
        <v>9.706765351898799</v>
      </c>
      <c r="T45" s="151">
        <f>2*Polars!$G$18*9.81/(X$38*$F$4*'Thrust vs Drag'!$A45^2*Polars!$G$13)</f>
        <v>1.2444229748921223</v>
      </c>
      <c r="U45" s="54">
        <f>Polars!$G$19+'Thrust vs Drag'!T45^2/(PI()*Polars!$G$24*Polars!$G$28)</f>
        <v>0.04987408586964734</v>
      </c>
      <c r="V45" s="53">
        <f>1.6/(1+(1+4*U45*Polars!$G$13/(PI()*Polars!$G$17^2))^0.5)</f>
        <v>0.7313248636311309</v>
      </c>
      <c r="W45" s="52">
        <f>Polars!$G$23*'Thrust vs Drag'!V45*(X$38-(1-X$38)/7.55)</f>
        <v>25.605778932539327</v>
      </c>
      <c r="X45" s="50">
        <f>0.5*X$38*$F$4*$A45^2*U45*Polars!$G$13</f>
        <v>334.1910856797755</v>
      </c>
      <c r="Y45" s="152">
        <f t="shared" si="7"/>
        <v>10.025732570393263</v>
      </c>
    </row>
    <row r="46" spans="1:25" ht="9" customHeight="1">
      <c r="A46" s="168">
        <v>32</v>
      </c>
      <c r="B46" s="151">
        <f>2*Polars!$G$18*9.81/(F$38*$F$4*'Thrust vs Drag'!$A46^2*Polars!$G$13)</f>
        <v>0.9045007679454866</v>
      </c>
      <c r="C46" s="54">
        <f>Polars!$G$19+'Thrust vs Drag'!B46^2/(PI()*Polars!$G$24*Polars!$G$28)</f>
        <v>0.031914596440454086</v>
      </c>
      <c r="D46" s="53">
        <f>1.6/(1+(1+4*C46*Polars!$G$13/(PI()*Polars!$G$17^2))^0.5)</f>
        <v>0.7533657491441276</v>
      </c>
      <c r="E46" s="52">
        <f>Polars!$G$23*'Thrust vs Drag'!D46*(F$38-(1-F$38)/7.55)</f>
        <v>33.106711718334104</v>
      </c>
      <c r="F46" s="50">
        <f>0.5*F$38*$F$4*$A46^2*C46*Polars!$G$13</f>
        <v>294.2173979831991</v>
      </c>
      <c r="G46" s="169">
        <f t="shared" si="4"/>
        <v>9.41495673546237</v>
      </c>
      <c r="H46" s="151">
        <f>2*Polars!$G$18*9.81/(L$38*$F$4*'Thrust vs Drag'!$A46^2*Polars!$G$13)</f>
        <v>0.962725247250732</v>
      </c>
      <c r="I46" s="54">
        <f>Polars!$G$19+'Thrust vs Drag'!H46^2/(PI()*Polars!$G$24*Polars!$G$28)</f>
        <v>0.03458757790271409</v>
      </c>
      <c r="J46" s="53">
        <f>1.6/(1+(1+4*I46*Polars!$G$13/(PI()*Polars!$G$17^2))^0.5)</f>
        <v>0.749921057280111</v>
      </c>
      <c r="K46" s="52">
        <f>Polars!$G$23*'Thrust vs Drag'!J46*(L$38-(1-L$38)/7.55)</f>
        <v>30.613817601198715</v>
      </c>
      <c r="L46" s="50">
        <f>0.5*L$38*$F$4*$A46^2*I46*Polars!$G$13</f>
        <v>299.575106361232</v>
      </c>
      <c r="M46" s="152">
        <f t="shared" si="5"/>
        <v>9.586403403559423</v>
      </c>
      <c r="N46" s="151">
        <f>2*Polars!$G$18*9.81/(R$38*$F$4*'Thrust vs Drag'!$A46^2*Polars!$G$13)</f>
        <v>1.0256492049562027</v>
      </c>
      <c r="O46" s="54">
        <f>Polars!$G$19+'Thrust vs Drag'!N46^2/(PI()*Polars!$G$24*Polars!$G$28)</f>
        <v>0.03766372889416434</v>
      </c>
      <c r="P46" s="53">
        <f>1.6/(1+(1+4*O46*Polars!$G$13/(PI()*Polars!$G$17^2))^0.5)</f>
        <v>0.7460313694832895</v>
      </c>
      <c r="Q46" s="52">
        <f>Polars!$G$23*'Thrust vs Drag'!P46*(R$38-(1-R$38)/7.55)</f>
        <v>28.23499740257689</v>
      </c>
      <c r="R46" s="50">
        <f>0.5*R$38*$F$4*$A46^2*O46*Polars!$G$13</f>
        <v>306.2050863651772</v>
      </c>
      <c r="S46" s="152">
        <f t="shared" si="6"/>
        <v>9.79856276368567</v>
      </c>
      <c r="T46" s="151">
        <f>2*Polars!$G$18*9.81/(X$38*$F$4*'Thrust vs Drag'!$A46^2*Polars!$G$13)</f>
        <v>1.0937311302762793</v>
      </c>
      <c r="U46" s="54">
        <f>Polars!$G$19+'Thrust vs Drag'!T46^2/(PI()*Polars!$G$24*Polars!$G$28)</f>
        <v>0.04121132502976832</v>
      </c>
      <c r="V46" s="53">
        <f>1.6/(1+(1+4*U46*Polars!$G$13/(PI()*Polars!$G$17^2))^0.5)</f>
        <v>0.7416409881059637</v>
      </c>
      <c r="W46" s="52">
        <f>Polars!$G$23*'Thrust vs Drag'!V46*(X$38-(1-X$38)/7.55)</f>
        <v>25.966976009077342</v>
      </c>
      <c r="X46" s="50">
        <f>0.5*X$38*$F$4*$A46^2*U46*Polars!$G$13</f>
        <v>314.19114282128794</v>
      </c>
      <c r="Y46" s="152">
        <f t="shared" si="7"/>
        <v>10.054116570281215</v>
      </c>
    </row>
    <row r="47" spans="1:25" ht="9" customHeight="1">
      <c r="A47" s="168">
        <v>34</v>
      </c>
      <c r="B47" s="151">
        <f>2*Polars!$G$18*9.81/(F$38*$F$4*'Thrust vs Drag'!$A47^2*Polars!$G$13)</f>
        <v>0.8012186733357942</v>
      </c>
      <c r="C47" s="54">
        <f>Polars!$G$19+'Thrust vs Drag'!B47^2/(PI()*Polars!$G$24*Polars!$G$28)</f>
        <v>0.027583218499797633</v>
      </c>
      <c r="D47" s="53">
        <f>1.6/(1+(1+4*C47*Polars!$G$13/(PI()*Polars!$G$17^2))^0.5)</f>
        <v>0.7590809936856996</v>
      </c>
      <c r="E47" s="52">
        <f>Polars!$G$23*'Thrust vs Drag'!D47*(F$38-(1-F$38)/7.55)</f>
        <v>33.35786854840312</v>
      </c>
      <c r="F47" s="50">
        <f>0.5*F$38*$F$4*$A47^2*C47*Polars!$G$13</f>
        <v>287.06603467311777</v>
      </c>
      <c r="G47" s="169">
        <f t="shared" si="4"/>
        <v>9.760245178886004</v>
      </c>
      <c r="H47" s="151">
        <f>2*Polars!$G$18*9.81/(L$38*$F$4*'Thrust vs Drag'!$A47^2*Polars!$G$13)</f>
        <v>0.8527946826857696</v>
      </c>
      <c r="I47" s="54">
        <f>Polars!$G$19+'Thrust vs Drag'!H47^2/(PI()*Polars!$G$24*Polars!$G$28)</f>
        <v>0.02968061332398164</v>
      </c>
      <c r="J47" s="53">
        <f>1.6/(1+(1+4*I47*Polars!$G$13/(PI()*Polars!$G$17^2))^0.5)</f>
        <v>0.7562924642681664</v>
      </c>
      <c r="K47" s="52">
        <f>Polars!$G$23*'Thrust vs Drag'!J47*(L$38-(1-L$38)/7.55)</f>
        <v>30.873915766868006</v>
      </c>
      <c r="L47" s="50">
        <f>0.5*L$38*$F$4*$A47^2*I47*Polars!$G$13</f>
        <v>290.2126376100008</v>
      </c>
      <c r="M47" s="152">
        <f t="shared" si="5"/>
        <v>9.867229678740026</v>
      </c>
      <c r="N47" s="151">
        <f>2*Polars!$G$18*9.81/(R$38*$F$4*'Thrust vs Drag'!$A47^2*Polars!$G$13)</f>
        <v>0.908533551795114</v>
      </c>
      <c r="O47" s="54">
        <f>Polars!$G$19+'Thrust vs Drag'!N47^2/(PI()*Polars!$G$24*Polars!$G$28)</f>
        <v>0.03209436114040726</v>
      </c>
      <c r="P47" s="53">
        <f>1.6/(1+(1+4*O47*Polars!$G$13/(PI()*Polars!$G$17^2))^0.5)</f>
        <v>0.753132151665928</v>
      </c>
      <c r="Q47" s="52">
        <f>Polars!$G$23*'Thrust vs Drag'!P47*(R$38-(1-R$38)/7.55)</f>
        <v>28.50374021244281</v>
      </c>
      <c r="R47" s="50">
        <f>0.5*R$38*$F$4*$A47^2*O47*Polars!$G$13</f>
        <v>294.5613068890134</v>
      </c>
      <c r="S47" s="152">
        <f t="shared" si="6"/>
        <v>10.015084434226456</v>
      </c>
      <c r="T47" s="151">
        <f>2*Polars!$G$18*9.81/(X$38*$F$4*'Thrust vs Drag'!$A47^2*Polars!$G$13)</f>
        <v>0.9688414164385034</v>
      </c>
      <c r="U47" s="54">
        <f>Polars!$G$19+'Thrust vs Drag'!T47^2/(PI()*Polars!$G$24*Polars!$G$28)</f>
        <v>0.034878035430022346</v>
      </c>
      <c r="V47" s="53">
        <f>1.6/(1+(1+4*U47*Polars!$G$13/(PI()*Polars!$G$17^2))^0.5)</f>
        <v>0.7495504131121128</v>
      </c>
      <c r="W47" s="52">
        <f>Polars!$G$23*'Thrust vs Drag'!V47*(X$38-(1-X$38)/7.55)</f>
        <v>26.243907641328125</v>
      </c>
      <c r="X47" s="50">
        <f>0.5*X$38*$F$4*$A47^2*U47*Polars!$G$13</f>
        <v>300.1838004638002</v>
      </c>
      <c r="Y47" s="152">
        <f t="shared" si="7"/>
        <v>10.206249215769207</v>
      </c>
    </row>
    <row r="48" spans="1:25" ht="9" customHeight="1">
      <c r="A48" s="168">
        <v>36</v>
      </c>
      <c r="B48" s="151">
        <f>2*Polars!$G$18*9.81/(F$38*$F$4*'Thrust vs Drag'!$A48^2*Polars!$G$13)</f>
        <v>0.7146672734384091</v>
      </c>
      <c r="C48" s="54">
        <f>Polars!$G$19+'Thrust vs Drag'!B48^2/(PI()*Polars!$G$24*Polars!$G$28)</f>
        <v>0.024357443533013248</v>
      </c>
      <c r="D48" s="53">
        <f>1.6/(1+(1+4*C48*Polars!$G$13/(PI()*Polars!$G$17^2))^0.5)</f>
        <v>0.7634492760194688</v>
      </c>
      <c r="E48" s="52">
        <f>Polars!$G$23*'Thrust vs Drag'!D48*(F$38-(1-F$38)/7.55)</f>
        <v>33.549833027930745</v>
      </c>
      <c r="F48" s="50">
        <f>0.5*F$38*$F$4*$A48^2*C48*Polars!$G$13</f>
        <v>284.19454821661816</v>
      </c>
      <c r="G48" s="169">
        <f t="shared" si="4"/>
        <v>10.231003735798256</v>
      </c>
      <c r="H48" s="151">
        <f>2*Polars!$G$18*9.81/(L$38*$F$4*'Thrust vs Drag'!$A48^2*Polars!$G$13)</f>
        <v>0.7606718002968748</v>
      </c>
      <c r="I48" s="54">
        <f>Polars!$G$19+'Thrust vs Drag'!H48^2/(PI()*Polars!$G$24*Polars!$G$28)</f>
        <v>0.026026172700734176</v>
      </c>
      <c r="J48" s="53">
        <f>1.6/(1+(1+4*I48*Polars!$G$13/(PI()*Polars!$G$17^2))^0.5)</f>
        <v>0.7611772893095555</v>
      </c>
      <c r="K48" s="52">
        <f>Polars!$G$23*'Thrust vs Drag'!J48*(L$38-(1-L$38)/7.55)</f>
        <v>31.07332761346054</v>
      </c>
      <c r="L48" s="50">
        <f>0.5*L$38*$F$4*$A48^2*I48*Polars!$G$13</f>
        <v>285.29944317690456</v>
      </c>
      <c r="M48" s="152">
        <f t="shared" si="5"/>
        <v>10.270779954368566</v>
      </c>
      <c r="N48" s="151">
        <f>2*Polars!$G$18*9.81/(R$38*$F$4*'Thrust vs Drag'!$A48^2*Polars!$G$13)</f>
        <v>0.8103894952740366</v>
      </c>
      <c r="O48" s="54">
        <f>Polars!$G$19+'Thrust vs Drag'!N48^2/(PI()*Polars!$G$24*Polars!$G$28)</f>
        <v>0.027946598620712866</v>
      </c>
      <c r="P48" s="53">
        <f>1.6/(1+(1+4*O48*Polars!$G$13/(PI()*Polars!$G$17^2))^0.5)</f>
        <v>0.758594997906134</v>
      </c>
      <c r="Q48" s="52">
        <f>Polars!$G$23*'Thrust vs Drag'!P48*(R$38-(1-R$38)/7.55)</f>
        <v>28.71049217450806</v>
      </c>
      <c r="R48" s="50">
        <f>0.5*R$38*$F$4*$A48^2*O48*Polars!$G$13</f>
        <v>287.5564329964732</v>
      </c>
      <c r="S48" s="152">
        <f t="shared" si="6"/>
        <v>10.352031587873034</v>
      </c>
      <c r="T48" s="151">
        <f>2*Polars!$G$18*9.81/(X$38*$F$4*'Thrust vs Drag'!$A48^2*Polars!$G$13)</f>
        <v>0.8641826214528627</v>
      </c>
      <c r="U48" s="54">
        <f>Polars!$G$19+'Thrust vs Drag'!T48^2/(PI()*Polars!$G$24*Polars!$G$28)</f>
        <v>0.030161345423248144</v>
      </c>
      <c r="V48" s="53">
        <f>1.6/(1+(1+4*U48*Polars!$G$13/(PI()*Polars!$G$17^2))^0.5)</f>
        <v>0.7556589223619397</v>
      </c>
      <c r="W48" s="52">
        <f>Polars!$G$23*'Thrust vs Drag'!V48*(X$38-(1-X$38)/7.55)</f>
        <v>26.45778405280664</v>
      </c>
      <c r="X48" s="50">
        <f>0.5*X$38*$F$4*$A48^2*U48*Polars!$G$13</f>
        <v>291.02688779940115</v>
      </c>
      <c r="Y48" s="152">
        <f t="shared" si="7"/>
        <v>10.476967960778442</v>
      </c>
    </row>
    <row r="49" spans="1:25" ht="9" customHeight="1">
      <c r="A49" s="168">
        <v>38</v>
      </c>
      <c r="B49" s="151">
        <f>2*Polars!$G$18*9.81/(F$38*$F$4*'Thrust vs Drag'!$A49^2*Polars!$G$13)</f>
        <v>0.6414188271303173</v>
      </c>
      <c r="C49" s="54">
        <f>Polars!$G$19+'Thrust vs Drag'!B49^2/(PI()*Polars!$G$24*Polars!$G$28)</f>
        <v>0.0219152553488816</v>
      </c>
      <c r="D49" s="53">
        <f>1.6/(1+(1+4*C49*Polars!$G$13/(PI()*Polars!$G$17^2))^0.5)</f>
        <v>0.7668227477489343</v>
      </c>
      <c r="E49" s="52">
        <f>Polars!$G$23*'Thrust vs Drag'!D49*(F$38-(1-F$38)/7.55)</f>
        <v>33.69808048431464</v>
      </c>
      <c r="F49" s="50">
        <f>0.5*F$38*$F$4*$A49^2*C49*Polars!$G$13</f>
        <v>284.90020716139935</v>
      </c>
      <c r="G49" s="169">
        <f t="shared" si="4"/>
        <v>10.826207872133175</v>
      </c>
      <c r="H49" s="151">
        <f>2*Polars!$G$18*9.81/(L$38*$F$4*'Thrust vs Drag'!$A49^2*Polars!$G$13)</f>
        <v>0.6827082085766965</v>
      </c>
      <c r="I49" s="54">
        <f>Polars!$G$19+'Thrust vs Drag'!H49^2/(PI()*Polars!$G$24*Polars!$G$28)</f>
        <v>0.023259447866669766</v>
      </c>
      <c r="J49" s="53">
        <f>1.6/(1+(1+4*I49*Polars!$G$13/(PI()*Polars!$G$17^2))^0.5)</f>
        <v>0.7649587685782185</v>
      </c>
      <c r="K49" s="52">
        <f>Polars!$G$23*'Thrust vs Drag'!J49*(L$38-(1-L$38)/7.55)</f>
        <v>31.227697884130674</v>
      </c>
      <c r="L49" s="50">
        <f>0.5*L$38*$F$4*$A49^2*I49*Polars!$G$13</f>
        <v>284.08755541488017</v>
      </c>
      <c r="M49" s="152">
        <f t="shared" si="5"/>
        <v>10.795327105765445</v>
      </c>
      <c r="N49" s="151">
        <f>2*Polars!$G$18*9.81/(R$38*$F$4*'Thrust vs Drag'!$A49^2*Polars!$G$13)</f>
        <v>0.7273301841240662</v>
      </c>
      <c r="O49" s="54">
        <f>Polars!$G$19+'Thrust vs Drag'!N49^2/(PI()*Polars!$G$24*Polars!$G$28)</f>
        <v>0.024806386820297226</v>
      </c>
      <c r="P49" s="53">
        <f>1.6/(1+(1+4*O49*Polars!$G$13/(PI()*Polars!$G$17^2))^0.5)</f>
        <v>0.762835428843937</v>
      </c>
      <c r="Q49" s="52">
        <f>Polars!$G$23*'Thrust vs Drag'!P49*(R$38-(1-R$38)/7.55)</f>
        <v>28.870979469563228</v>
      </c>
      <c r="R49" s="50">
        <f>0.5*R$38*$F$4*$A49^2*O49*Polars!$G$13</f>
        <v>284.39360969208</v>
      </c>
      <c r="S49" s="152">
        <f t="shared" si="6"/>
        <v>10.806957168299041</v>
      </c>
      <c r="T49" s="151">
        <f>2*Polars!$G$18*9.81/(X$38*$F$4*'Thrust vs Drag'!$A49^2*Polars!$G$13)</f>
        <v>0.7756098873981372</v>
      </c>
      <c r="U49" s="54">
        <f>Polars!$G$19+'Thrust vs Drag'!T49^2/(PI()*Polars!$G$24*Polars!$G$28)</f>
        <v>0.026590406742972326</v>
      </c>
      <c r="V49" s="53">
        <f>1.6/(1+(1+4*U49*Polars!$G$13/(PI()*Polars!$G$17^2))^0.5)</f>
        <v>0.7604150341905007</v>
      </c>
      <c r="W49" s="52">
        <f>Polars!$G$23*'Thrust vs Drag'!V49*(X$38-(1-X$38)/7.55)</f>
        <v>26.624309155557686</v>
      </c>
      <c r="X49" s="50">
        <f>0.5*X$38*$F$4*$A49^2*U49*Polars!$G$13</f>
        <v>285.8706551177048</v>
      </c>
      <c r="Y49" s="152">
        <f t="shared" si="7"/>
        <v>10.863084894472783</v>
      </c>
    </row>
    <row r="50" spans="1:25" ht="9" customHeight="1">
      <c r="A50" s="168">
        <v>40</v>
      </c>
      <c r="B50" s="151">
        <f>2*Polars!$G$18*9.81/(F$38*$F$4*'Thrust vs Drag'!$A50^2*Polars!$G$13)</f>
        <v>0.5788804914851113</v>
      </c>
      <c r="C50" s="54">
        <f>Polars!$G$19+'Thrust vs Drag'!B50^2/(PI()*Polars!$G$24*Polars!$G$28)</f>
        <v>0.02003893870200999</v>
      </c>
      <c r="D50" s="53">
        <f>1.6/(1+(1+4*C50*Polars!$G$13/(PI()*Polars!$G$17^2))^0.5)</f>
        <v>0.7694546778778315</v>
      </c>
      <c r="E50" s="52">
        <f>Polars!$G$23*'Thrust vs Drag'!D50*(F$38-(1-F$38)/7.55)</f>
        <v>33.81374084203489</v>
      </c>
      <c r="F50" s="50">
        <f>0.5*F$38*$F$4*$A50^2*C50*Polars!$G$13</f>
        <v>288.65144502975176</v>
      </c>
      <c r="G50" s="169">
        <f t="shared" si="4"/>
        <v>11.54605780119007</v>
      </c>
      <c r="H50" s="151">
        <f>2*Polars!$G$18*9.81/(L$38*$F$4*'Thrust vs Drag'!$A50^2*Polars!$G$13)</f>
        <v>0.6161441582404686</v>
      </c>
      <c r="I50" s="54">
        <f>Polars!$G$19+'Thrust vs Drag'!H50^2/(PI()*Polars!$G$24*Polars!$G$28)</f>
        <v>0.021133791908951698</v>
      </c>
      <c r="J50" s="53">
        <f>1.6/(1+(1+4*I50*Polars!$G$13/(PI()*Polars!$G$17^2))^0.5)</f>
        <v>0.7679146189206681</v>
      </c>
      <c r="K50" s="52">
        <f>Polars!$G$23*'Thrust vs Drag'!J50*(L$38-(1-L$38)/7.55)</f>
        <v>31.348363736038326</v>
      </c>
      <c r="L50" s="50">
        <f>0.5*L$38*$F$4*$A50^2*I50*Polars!$G$13</f>
        <v>286.0111898748491</v>
      </c>
      <c r="M50" s="152">
        <f t="shared" si="5"/>
        <v>11.440447594993964</v>
      </c>
      <c r="N50" s="151">
        <f>2*Polars!$G$18*9.81/(R$38*$F$4*'Thrust vs Drag'!$A50^2*Polars!$G$13)</f>
        <v>0.6564154911719697</v>
      </c>
      <c r="O50" s="54">
        <f>Polars!$G$19+'Thrust vs Drag'!N50^2/(PI()*Polars!$G$24*Polars!$G$28)</f>
        <v>0.022393783355049712</v>
      </c>
      <c r="P50" s="53">
        <f>1.6/(1+(1+4*O50*Polars!$G$13/(PI()*Polars!$G$17^2))^0.5)</f>
        <v>0.766157138169608</v>
      </c>
      <c r="Q50" s="52">
        <f>Polars!$G$23*'Thrust vs Drag'!P50*(R$38-(1-R$38)/7.55)</f>
        <v>28.99669597160173</v>
      </c>
      <c r="R50" s="50">
        <f>0.5*R$38*$F$4*$A50^2*O50*Polars!$G$13</f>
        <v>284.4700727167357</v>
      </c>
      <c r="S50" s="152">
        <f t="shared" si="6"/>
        <v>11.378802908669426</v>
      </c>
      <c r="T50" s="151">
        <f>2*Polars!$G$18*9.81/(X$38*$F$4*'Thrust vs Drag'!$A50^2*Polars!$G$13)</f>
        <v>0.6999879233768188</v>
      </c>
      <c r="U50" s="54">
        <f>Polars!$G$19+'Thrust vs Drag'!T50^2/(PI()*Polars!$G$24*Polars!$G$28)</f>
        <v>0.023846878732193107</v>
      </c>
      <c r="V50" s="53">
        <f>1.6/(1+(1+4*U50*Polars!$G$13/(PI()*Polars!$G$17^2))^0.5)</f>
        <v>0.7641497341912253</v>
      </c>
      <c r="W50" s="52">
        <f>Polars!$G$23*'Thrust vs Drag'!V50*(X$38-(1-X$38)/7.55)</f>
        <v>26.75507170357649</v>
      </c>
      <c r="X50" s="50">
        <f>0.5*X$38*$F$4*$A50^2*U50*Polars!$G$13</f>
        <v>284.07232706120334</v>
      </c>
      <c r="Y50" s="152">
        <f t="shared" si="7"/>
        <v>11.362893082448133</v>
      </c>
    </row>
    <row r="51" spans="1:25" ht="9" customHeight="1">
      <c r="A51" s="168">
        <v>42</v>
      </c>
      <c r="B51" s="151">
        <f>2*Polars!$G$18*9.81/(F$38*$F$4*'Thrust vs Drag'!$A51^2*Polars!$G$13)</f>
        <v>0.5250616702812801</v>
      </c>
      <c r="C51" s="54">
        <f>Polars!$G$19+'Thrust vs Drag'!B51^2/(PI()*Polars!$G$24*Polars!$G$28)</f>
        <v>0.018578195259802234</v>
      </c>
      <c r="D51" s="53">
        <f>1.6/(1+(1+4*C51*Polars!$G$13/(PI()*Polars!$G$17^2))^0.5)</f>
        <v>0.7715284373787049</v>
      </c>
      <c r="E51" s="52">
        <f>Polars!$G$23*'Thrust vs Drag'!D51*(F$38-(1-F$38)/7.55)</f>
        <v>33.904872351592594</v>
      </c>
      <c r="F51" s="50">
        <f>0.5*F$38*$F$4*$A51^2*C51*Polars!$G$13</f>
        <v>295.040163740903</v>
      </c>
      <c r="G51" s="169">
        <f t="shared" si="4"/>
        <v>12.391686877117925</v>
      </c>
      <c r="H51" s="151">
        <f>2*Polars!$G$18*9.81/(L$38*$F$4*'Thrust vs Drag'!$A51^2*Polars!$G$13)</f>
        <v>0.5588609145038264</v>
      </c>
      <c r="I51" s="54">
        <f>Polars!$G$19+'Thrust vs Drag'!H51^2/(PI()*Polars!$G$24*Polars!$G$28)</f>
        <v>0.019478933702687003</v>
      </c>
      <c r="J51" s="53">
        <f>1.6/(1+(1+4*I51*Polars!$G$13/(PI()*Polars!$G$17^2))^0.5)</f>
        <v>0.7702471047896592</v>
      </c>
      <c r="K51" s="52">
        <f>Polars!$G$23*'Thrust vs Drag'!J51*(L$38-(1-L$38)/7.55)</f>
        <v>31.44358215437378</v>
      </c>
      <c r="L51" s="50">
        <f>0.5*L$38*$F$4*$A51^2*I51*Polars!$G$13</f>
        <v>290.6359784062936</v>
      </c>
      <c r="M51" s="152">
        <f t="shared" si="5"/>
        <v>12.20671109306433</v>
      </c>
      <c r="N51" s="151">
        <f>2*Polars!$G$18*9.81/(R$38*$F$4*'Thrust vs Drag'!$A51^2*Polars!$G$13)</f>
        <v>0.5953882006094964</v>
      </c>
      <c r="O51" s="54">
        <f>Polars!$G$19+'Thrust vs Drag'!N51^2/(PI()*Polars!$G$24*Polars!$G$28)</f>
        <v>0.020515531783608446</v>
      </c>
      <c r="P51" s="53">
        <f>1.6/(1+(1+4*O51*Polars!$G$13/(PI()*Polars!$G$17^2))^0.5)</f>
        <v>0.7687827964983692</v>
      </c>
      <c r="Q51" s="52">
        <f>Polars!$G$23*'Thrust vs Drag'!P51*(R$38-(1-R$38)/7.55)</f>
        <v>29.096069079925552</v>
      </c>
      <c r="R51" s="50">
        <f>0.5*R$38*$F$4*$A51^2*O51*Polars!$G$13</f>
        <v>287.32306351133036</v>
      </c>
      <c r="S51" s="152">
        <f t="shared" si="6"/>
        <v>12.067568667475875</v>
      </c>
      <c r="T51" s="151">
        <f>2*Polars!$G$18*9.81/(X$38*$F$4*'Thrust vs Drag'!$A51^2*Polars!$G$13)</f>
        <v>0.6349096810674094</v>
      </c>
      <c r="U51" s="54">
        <f>Polars!$G$19+'Thrust vs Drag'!T51^2/(PI()*Polars!$G$24*Polars!$G$28)</f>
        <v>0.021710996946492957</v>
      </c>
      <c r="V51" s="53">
        <f>1.6/(1+(1+4*U51*Polars!$G$13/(PI()*Polars!$G$17^2))^0.5)</f>
        <v>0.7671075526855471</v>
      </c>
      <c r="W51" s="52">
        <f>Polars!$G$23*'Thrust vs Drag'!V51*(X$38-(1-X$38)/7.55)</f>
        <v>26.85863340406638</v>
      </c>
      <c r="X51" s="50">
        <f>0.5*X$38*$F$4*$A51^2*U51*Polars!$G$13</f>
        <v>285.13842745943344</v>
      </c>
      <c r="Y51" s="152">
        <f t="shared" si="7"/>
        <v>11.975813953296205</v>
      </c>
    </row>
    <row r="52" spans="1:25" ht="9" customHeight="1">
      <c r="A52" s="168">
        <v>44</v>
      </c>
      <c r="B52" s="151">
        <f>2*Polars!$G$18*9.81/(F$38*$F$4*'Thrust vs Drag'!$A52^2*Polars!$G$13)</f>
        <v>0.47841362932653836</v>
      </c>
      <c r="C52" s="54">
        <f>Polars!$G$19+'Thrust vs Drag'!B52^2/(PI()*Polars!$G$24*Polars!$G$28)</f>
        <v>0.017427305991400854</v>
      </c>
      <c r="D52" s="53">
        <f>1.6/(1+(1+4*C52*Polars!$G$13/(PI()*Polars!$G$17^2))^0.5)</f>
        <v>0.7731778857162089</v>
      </c>
      <c r="E52" s="52">
        <f>Polars!$G$23*'Thrust vs Drag'!D52*(F$38-(1-F$38)/7.55)</f>
        <v>33.97735747673409</v>
      </c>
      <c r="F52" s="50">
        <f>0.5*F$38*$F$4*$A52^2*C52*Polars!$G$13</f>
        <v>303.74885266930886</v>
      </c>
      <c r="G52" s="169">
        <f t="shared" si="4"/>
        <v>13.36494951744959</v>
      </c>
      <c r="H52" s="151">
        <f>2*Polars!$G$18*9.81/(L$38*$F$4*'Thrust vs Drag'!$A52^2*Polars!$G$13)</f>
        <v>0.5092100481326187</v>
      </c>
      <c r="I52" s="54">
        <f>Polars!$G$19+'Thrust vs Drag'!H52^2/(PI()*Polars!$G$24*Polars!$G$28)</f>
        <v>0.018175105463391638</v>
      </c>
      <c r="J52" s="53">
        <f>1.6/(1+(1+4*I52*Polars!$G$13/(PI()*Polars!$G$17^2))^0.5)</f>
        <v>0.7721045682409878</v>
      </c>
      <c r="K52" s="52">
        <f>Polars!$G$23*'Thrust vs Drag'!J52*(L$38-(1-L$38)/7.55)</f>
        <v>31.51940886539602</v>
      </c>
      <c r="L52" s="50">
        <f>0.5*L$38*$F$4*$A52^2*I52*Polars!$G$13</f>
        <v>297.6239716051728</v>
      </c>
      <c r="M52" s="152">
        <f t="shared" si="5"/>
        <v>13.095454750627603</v>
      </c>
      <c r="N52" s="151">
        <f>2*Polars!$G$18*9.81/(R$38*$F$4*'Thrust vs Drag'!$A52^2*Polars!$G$13)</f>
        <v>0.5424921414644378</v>
      </c>
      <c r="O52" s="54">
        <f>Polars!$G$19+'Thrust vs Drag'!N52^2/(PI()*Polars!$G$24*Polars!$G$28)</f>
        <v>0.019035696574721477</v>
      </c>
      <c r="P52" s="53">
        <f>1.6/(1+(1+4*O52*Polars!$G$13/(PI()*Polars!$G$17^2))^0.5)</f>
        <v>0.7708765795345923</v>
      </c>
      <c r="Q52" s="52">
        <f>Polars!$G$23*'Thrust vs Drag'!P52*(R$38-(1-R$38)/7.55)</f>
        <v>29.17531234101022</v>
      </c>
      <c r="R52" s="50">
        <f>0.5*R$38*$F$4*$A52^2*O52*Polars!$G$13</f>
        <v>292.5925442160903</v>
      </c>
      <c r="S52" s="152">
        <f t="shared" si="6"/>
        <v>12.874071945507973</v>
      </c>
      <c r="T52" s="151">
        <f>2*Polars!$G$18*9.81/(X$38*$F$4*'Thrust vs Drag'!$A52^2*Polars!$G$13)</f>
        <v>0.5785024160138997</v>
      </c>
      <c r="U52" s="54">
        <f>Polars!$G$19+'Thrust vs Drag'!T52^2/(PI()*Polars!$G$24*Polars!$G$28)</f>
        <v>0.020028180269239193</v>
      </c>
      <c r="V52" s="53">
        <f>1.6/(1+(1+4*U52*Polars!$G$13/(PI()*Polars!$G$17^2))^0.5)</f>
        <v>0.7694698712979235</v>
      </c>
      <c r="W52" s="52">
        <f>Polars!$G$23*'Thrust vs Drag'!V52*(X$38-(1-X$38)/7.55)</f>
        <v>26.94134494741033</v>
      </c>
      <c r="X52" s="50">
        <f>0.5*X$38*$F$4*$A52^2*U52*Polars!$G$13</f>
        <v>288.68501937429824</v>
      </c>
      <c r="Y52" s="152">
        <f t="shared" si="7"/>
        <v>12.702140852469121</v>
      </c>
    </row>
    <row r="53" spans="1:25" ht="9" customHeight="1">
      <c r="A53" s="168">
        <v>46</v>
      </c>
      <c r="B53" s="151">
        <f>2*Polars!$G$18*9.81/(F$38*$F$4*'Thrust vs Drag'!$A53^2*Polars!$G$13)</f>
        <v>0.4377168177581182</v>
      </c>
      <c r="C53" s="54">
        <f>Polars!$G$19+'Thrust vs Drag'!B53^2/(PI()*Polars!$G$24*Polars!$G$28)</f>
        <v>0.016510639943116263</v>
      </c>
      <c r="D53" s="53">
        <f>1.6/(1+(1+4*C53*Polars!$G$13/(PI()*Polars!$G$17^2))^0.5)</f>
        <v>0.7745016264669956</v>
      </c>
      <c r="E53" s="52">
        <f>Polars!$G$23*'Thrust vs Drag'!D53*(F$38-(1-F$38)/7.55)</f>
        <v>34.035529358686375</v>
      </c>
      <c r="F53" s="50">
        <f>0.5*F$38*$F$4*$A53^2*C53*Polars!$G$13</f>
        <v>314.5274880476569</v>
      </c>
      <c r="G53" s="169">
        <f t="shared" si="4"/>
        <v>14.468264450192217</v>
      </c>
      <c r="H53" s="151">
        <f>2*Polars!$G$18*9.81/(L$38*$F$4*'Thrust vs Drag'!$A53^2*Polars!$G$13)</f>
        <v>0.4658935033954394</v>
      </c>
      <c r="I53" s="54">
        <f>Polars!$G$19+'Thrust vs Drag'!H53^2/(PI()*Polars!$G$24*Polars!$G$28)</f>
        <v>0.017136625817633123</v>
      </c>
      <c r="J53" s="53">
        <f>1.6/(1+(1+4*I53*Polars!$G$13/(PI()*Polars!$G$17^2))^0.5)</f>
        <v>0.773596687214561</v>
      </c>
      <c r="K53" s="52">
        <f>Polars!$G$23*'Thrust vs Drag'!J53*(L$38-(1-L$38)/7.55)</f>
        <v>31.580321220973723</v>
      </c>
      <c r="L53" s="50">
        <f>0.5*L$38*$F$4*$A53^2*I53*Polars!$G$13</f>
        <v>306.70905118642315</v>
      </c>
      <c r="M53" s="152">
        <f t="shared" si="5"/>
        <v>14.108616354575464</v>
      </c>
      <c r="N53" s="151">
        <f>2*Polars!$G$18*9.81/(R$38*$F$4*'Thrust vs Drag'!$A53^2*Polars!$G$13)</f>
        <v>0.4963444167651945</v>
      </c>
      <c r="O53" s="54">
        <f>Polars!$G$19+'Thrust vs Drag'!N53^2/(PI()*Polars!$G$24*Polars!$G$28)</f>
        <v>0.017857030016359125</v>
      </c>
      <c r="P53" s="53">
        <f>1.6/(1+(1+4*O53*Polars!$G$13/(PI()*Polars!$G$17^2))^0.5)</f>
        <v>0.772560385660059</v>
      </c>
      <c r="Q53" s="52">
        <f>Polars!$G$23*'Thrust vs Drag'!P53*(R$38-(1-R$38)/7.55)</f>
        <v>29.239039234440884</v>
      </c>
      <c r="R53" s="50">
        <f>0.5*R$38*$F$4*$A53^2*O53*Polars!$G$13</f>
        <v>299.99500298973055</v>
      </c>
      <c r="S53" s="152">
        <f t="shared" si="6"/>
        <v>13.799770137527604</v>
      </c>
      <c r="T53" s="151">
        <f>2*Polars!$G$18*9.81/(X$38*$F$4*'Thrust vs Drag'!$A53^2*Polars!$G$13)</f>
        <v>0.5292914354456096</v>
      </c>
      <c r="U53" s="54">
        <f>Polars!$G$19+'Thrust vs Drag'!T53^2/(PI()*Polars!$G$24*Polars!$G$28)</f>
        <v>0.01868784201439709</v>
      </c>
      <c r="V53" s="53">
        <f>1.6/(1+(1+4*U53*Polars!$G$13/(PI()*Polars!$G$17^2))^0.5)</f>
        <v>0.7713720128701053</v>
      </c>
      <c r="W53" s="52">
        <f>Polars!$G$23*'Thrust vs Drag'!V53*(X$38-(1-X$38)/7.55)</f>
        <v>27.007944374037024</v>
      </c>
      <c r="X53" s="50">
        <f>0.5*X$38*$F$4*$A53^2*U53*Polars!$G$13</f>
        <v>294.4097716333881</v>
      </c>
      <c r="Y53" s="152">
        <f t="shared" si="7"/>
        <v>13.542849495135853</v>
      </c>
    </row>
    <row r="54" spans="1:25" ht="9" customHeight="1">
      <c r="A54" s="168">
        <v>48</v>
      </c>
      <c r="B54" s="151">
        <f>2*Polars!$G$18*9.81/(F$38*$F$4*'Thrust vs Drag'!$A54^2*Polars!$G$13)</f>
        <v>0.40200034130910506</v>
      </c>
      <c r="C54" s="54">
        <f>Polars!$G$19+'Thrust vs Drag'!B54^2/(PI()*Polars!$G$24*Polars!$G$28)</f>
        <v>0.015773253617867473</v>
      </c>
      <c r="D54" s="53">
        <f>1.6/(1+(1+4*C54*Polars!$G$13/(PI()*Polars!$G$17^2))^0.5)</f>
        <v>0.7755729777105926</v>
      </c>
      <c r="E54" s="52">
        <f>Polars!$G$23*'Thrust vs Drag'!D54*(F$38-(1-F$38)/7.55)</f>
        <v>34.08260996569716</v>
      </c>
      <c r="F54" s="50">
        <f>0.5*F$38*$F$4*$A54^2*C54*Polars!$G$13</f>
        <v>327.1770239405241</v>
      </c>
      <c r="G54" s="169">
        <f t="shared" si="4"/>
        <v>15.704497149145158</v>
      </c>
      <c r="H54" s="151">
        <f>2*Polars!$G$18*9.81/(L$38*$F$4*'Thrust vs Drag'!$A54^2*Polars!$G$13)</f>
        <v>0.4278778876669921</v>
      </c>
      <c r="I54" s="54">
        <f>Polars!$G$19+'Thrust vs Drag'!H54^2/(PI()*Polars!$G$24*Polars!$G$28)</f>
        <v>0.016301249956091675</v>
      </c>
      <c r="J54" s="53">
        <f>1.6/(1+(1+4*I54*Polars!$G$13/(PI()*Polars!$G$17^2))^0.5)</f>
        <v>0.7748052572398416</v>
      </c>
      <c r="K54" s="52">
        <f>Polars!$G$23*'Thrust vs Drag'!J54*(L$38-(1-L$38)/7.55)</f>
        <v>31.629658337131534</v>
      </c>
      <c r="L54" s="50">
        <f>0.5*L$38*$F$4*$A54^2*I54*Polars!$G$13</f>
        <v>317.67935823937734</v>
      </c>
      <c r="M54" s="152">
        <f t="shared" si="5"/>
        <v>15.248609195490113</v>
      </c>
      <c r="N54" s="151">
        <f>2*Polars!$G$18*9.81/(R$38*$F$4*'Thrust vs Drag'!$A54^2*Polars!$G$13)</f>
        <v>0.4558440910916457</v>
      </c>
      <c r="O54" s="54">
        <f>Polars!$G$19+'Thrust vs Drag'!N54^2/(PI()*Polars!$G$24*Polars!$G$28)</f>
        <v>0.016908884719834934</v>
      </c>
      <c r="P54" s="53">
        <f>1.6/(1+(1+4*O54*Polars!$G$13/(PI()*Polars!$G$17^2))^0.5)</f>
        <v>0.7739254330098855</v>
      </c>
      <c r="Q54" s="52">
        <f>Polars!$G$23*'Thrust vs Drag'!P54*(R$38-(1-R$38)/7.55)</f>
        <v>29.290702086638962</v>
      </c>
      <c r="R54" s="50">
        <f>0.5*R$38*$F$4*$A54^2*O54*Polars!$G$13</f>
        <v>309.304733771348</v>
      </c>
      <c r="S54" s="152">
        <f t="shared" si="6"/>
        <v>14.846627221024704</v>
      </c>
      <c r="T54" s="151">
        <f>2*Polars!$G$18*9.81/(X$38*$F$4*'Thrust vs Drag'!$A54^2*Polars!$G$13)</f>
        <v>0.48610272456723524</v>
      </c>
      <c r="U54" s="54">
        <f>Polars!$G$19+'Thrust vs Drag'!T54^2/(PI()*Polars!$G$24*Polars!$G$28)</f>
        <v>0.017609644450324605</v>
      </c>
      <c r="V54" s="53">
        <f>1.6/(1+(1+4*U54*Polars!$G$13/(PI()*Polars!$G$17^2))^0.5)</f>
        <v>0.772915633910777</v>
      </c>
      <c r="W54" s="52">
        <f>Polars!$G$23*'Thrust vs Drag'!V54*(X$38-(1-X$38)/7.55)</f>
        <v>27.06199096959075</v>
      </c>
      <c r="X54" s="50">
        <f>0.5*X$38*$F$4*$A54^2*U54*Polars!$G$13</f>
        <v>302.07199595467773</v>
      </c>
      <c r="Y54" s="152">
        <f t="shared" si="7"/>
        <v>14.499455805824532</v>
      </c>
    </row>
    <row r="55" spans="1:25" ht="9" customHeight="1">
      <c r="A55" s="168">
        <v>50</v>
      </c>
      <c r="B55" s="151">
        <f>2*Polars!$G$18*9.81/(F$38*$F$4*'Thrust vs Drag'!$A55^2*Polars!$G$13)</f>
        <v>0.3704835145504713</v>
      </c>
      <c r="C55" s="54">
        <f>Polars!$G$19+'Thrust vs Drag'!B55^2/(PI()*Polars!$G$24*Polars!$G$28)</f>
        <v>0.015174669292343292</v>
      </c>
      <c r="D55" s="53">
        <f>1.6/(1+(1+4*C55*Polars!$G$13/(PI()*Polars!$G$17^2))^0.5)</f>
        <v>0.7764469724054514</v>
      </c>
      <c r="E55" s="52">
        <f>Polars!$G$23*'Thrust vs Drag'!D55*(F$38-(1-F$38)/7.55)</f>
        <v>34.121017725060945</v>
      </c>
      <c r="F55" s="50">
        <f>0.5*F$38*$F$4*$A55^2*C55*Polars!$G$13</f>
        <v>341.53740969482925</v>
      </c>
      <c r="G55" s="169">
        <f t="shared" si="4"/>
        <v>17.076870484741463</v>
      </c>
      <c r="H55" s="151">
        <f>2*Polars!$G$18*9.81/(L$38*$F$4*'Thrust vs Drag'!$A55^2*Polars!$G$13)</f>
        <v>0.3943322612738999</v>
      </c>
      <c r="I55" s="54">
        <f>Polars!$G$19+'Thrust vs Drag'!H55^2/(PI()*Polars!$G$24*Polars!$G$28)</f>
        <v>0.015623121165906615</v>
      </c>
      <c r="J55" s="53">
        <f>1.6/(1+(1+4*I55*Polars!$G$13/(PI()*Polars!$G$17^2))^0.5)</f>
        <v>0.7757918222407502</v>
      </c>
      <c r="K55" s="52">
        <f>Polars!$G$23*'Thrust vs Drag'!J55*(L$38-(1-L$38)/7.55)</f>
        <v>31.669932604264506</v>
      </c>
      <c r="L55" s="50">
        <f>0.5*L$38*$F$4*$A55^2*I55*Polars!$G$13</f>
        <v>330.364539338123</v>
      </c>
      <c r="M55" s="152">
        <f t="shared" si="5"/>
        <v>16.51822696690615</v>
      </c>
      <c r="N55" s="151">
        <f>2*Polars!$G$18*9.81/(R$38*$F$4*'Thrust vs Drag'!$A55^2*Polars!$G$13)</f>
        <v>0.4201059143500606</v>
      </c>
      <c r="O55" s="54">
        <f>Polars!$G$19+'Thrust vs Drag'!N55^2/(PI()*Polars!$G$24*Polars!$G$28)</f>
        <v>0.016139213662228362</v>
      </c>
      <c r="P55" s="53">
        <f>1.6/(1+(1+4*O55*Polars!$G$13/(PI()*Polars!$G$17^2))^0.5)</f>
        <v>0.7750405438045568</v>
      </c>
      <c r="Q55" s="52">
        <f>Polars!$G$23*'Thrust vs Drag'!P55*(R$38-(1-R$38)/7.55)</f>
        <v>29.332905607401017</v>
      </c>
      <c r="R55" s="50">
        <f>0.5*R$38*$F$4*$A55^2*O55*Polars!$G$13</f>
        <v>320.34024879343326</v>
      </c>
      <c r="S55" s="152">
        <f t="shared" si="6"/>
        <v>16.017012439671664</v>
      </c>
      <c r="T55" s="151">
        <f>2*Polars!$G$18*9.81/(X$38*$F$4*'Thrust vs Drag'!$A55^2*Polars!$G$13)</f>
        <v>0.447992270961164</v>
      </c>
      <c r="U55" s="54">
        <f>Polars!$G$19+'Thrust vs Drag'!T55^2/(PI()*Polars!$G$24*Polars!$G$28)</f>
        <v>0.016734401528706297</v>
      </c>
      <c r="V55" s="53">
        <f>1.6/(1+(1+4*U55*Polars!$G$13/(PI()*Polars!$G$17^2))^0.5)</f>
        <v>0.7741776731412282</v>
      </c>
      <c r="W55" s="52">
        <f>Polars!$G$23*'Thrust vs Drag'!V55*(X$38-(1-X$38)/7.55)</f>
        <v>27.1061785791555</v>
      </c>
      <c r="X55" s="50">
        <f>0.5*X$38*$F$4*$A55^2*U55*Polars!$G$13</f>
        <v>311.4781575310124</v>
      </c>
      <c r="Y55" s="152">
        <f t="shared" si="7"/>
        <v>15.57390787655062</v>
      </c>
    </row>
    <row r="56" spans="1:25" ht="9" customHeight="1">
      <c r="A56" s="168">
        <v>52</v>
      </c>
      <c r="B56" s="151">
        <f>2*Polars!$G$18*9.81/(F$38*$F$4*'Thrust vs Drag'!$A56^2*Polars!$G$13)</f>
        <v>0.34253283519829075</v>
      </c>
      <c r="C56" s="54">
        <f>Polars!$G$19+'Thrust vs Drag'!B56^2/(PI()*Polars!$G$24*Polars!$G$28)</f>
        <v>0.014684681454434365</v>
      </c>
      <c r="D56" s="53">
        <f>1.6/(1+(1+4*C56*Polars!$G$13/(PI()*Polars!$G$17^2))^0.5)</f>
        <v>0.7771653036441015</v>
      </c>
      <c r="E56" s="52">
        <f>Polars!$G$23*'Thrust vs Drag'!D56*(F$38-(1-F$38)/7.55)</f>
        <v>34.15258484271035</v>
      </c>
      <c r="F56" s="50">
        <f>0.5*F$38*$F$4*$A56^2*C56*Polars!$G$13</f>
        <v>357.4787691139631</v>
      </c>
      <c r="G56" s="169">
        <f t="shared" si="4"/>
        <v>18.588895993926084</v>
      </c>
      <c r="H56" s="151">
        <f>2*Polars!$G$18*9.81/(L$38*$F$4*'Thrust vs Drag'!$A56^2*Polars!$G$13)</f>
        <v>0.36458234215412344</v>
      </c>
      <c r="I56" s="54">
        <f>Polars!$G$19+'Thrust vs Drag'!H56^2/(PI()*Polars!$G$24*Polars!$G$28)</f>
        <v>0.015068019995431425</v>
      </c>
      <c r="J56" s="53">
        <f>1.6/(1+(1+4*I56*Polars!$G$13/(PI()*Polars!$G$17^2))^0.5)</f>
        <v>0.7766030993551816</v>
      </c>
      <c r="K56" s="52">
        <f>Polars!$G$23*'Thrust vs Drag'!J56*(L$38-(1-L$38)/7.55)</f>
        <v>31.703051143028187</v>
      </c>
      <c r="L56" s="50">
        <f>0.5*L$38*$F$4*$A56^2*I56*Polars!$G$13</f>
        <v>344.62635790185897</v>
      </c>
      <c r="M56" s="152">
        <f t="shared" si="5"/>
        <v>17.920570610896664</v>
      </c>
      <c r="N56" s="151">
        <f>2*Polars!$G$18*9.81/(R$38*$F$4*'Thrust vs Drag'!$A56^2*Polars!$G$13)</f>
        <v>0.38841153323785194</v>
      </c>
      <c r="O56" s="54">
        <f>Polars!$G$19+'Thrust vs Drag'!N56^2/(PI()*Polars!$G$24*Polars!$G$28)</f>
        <v>0.01550917802424625</v>
      </c>
      <c r="P56" s="53">
        <f>1.6/(1+(1+4*O56*Polars!$G$13/(PI()*Polars!$G$17^2))^0.5)</f>
        <v>0.7759580770260676</v>
      </c>
      <c r="Q56" s="52">
        <f>Polars!$G$23*'Thrust vs Drag'!P56*(R$38-(1-R$38)/7.55)</f>
        <v>29.36763142348041</v>
      </c>
      <c r="R56" s="50">
        <f>0.5*R$38*$F$4*$A56^2*O56*Polars!$G$13</f>
        <v>332.95427629844227</v>
      </c>
      <c r="S56" s="152">
        <f t="shared" si="6"/>
        <v>17.313622367519</v>
      </c>
      <c r="T56" s="151">
        <f>2*Polars!$G$18*9.81/(X$38*$F$4*'Thrust vs Drag'!$A56^2*Polars!$G$13)</f>
        <v>0.4141940375010762</v>
      </c>
      <c r="U56" s="54">
        <f>Polars!$G$19+'Thrust vs Drag'!T56^2/(PI()*Polars!$G$24*Polars!$G$28)</f>
        <v>0.016017947106961628</v>
      </c>
      <c r="V56" s="53">
        <f>1.6/(1+(1+4*U56*Polars!$G$13/(PI()*Polars!$G$17^2))^0.5)</f>
        <v>0.7752168145095893</v>
      </c>
      <c r="W56" s="52">
        <f>Polars!$G$23*'Thrust vs Drag'!V56*(X$38-(1-X$38)/7.55)</f>
        <v>27.142561895901768</v>
      </c>
      <c r="X56" s="50">
        <f>0.5*X$38*$F$4*$A56^2*U56*Polars!$G$13</f>
        <v>322.47120880162953</v>
      </c>
      <c r="Y56" s="152">
        <f t="shared" si="7"/>
        <v>16.768502857684737</v>
      </c>
    </row>
    <row r="57" spans="1:25" ht="9" customHeight="1">
      <c r="A57" s="168">
        <v>54</v>
      </c>
      <c r="B57" s="151">
        <f>2*Polars!$G$18*9.81/(F$38*$F$4*'Thrust vs Drag'!$A57^2*Polars!$G$13)</f>
        <v>0.3176298993059596</v>
      </c>
      <c r="C57" s="54">
        <f>Polars!$G$19+'Thrust vs Drag'!B57^2/(PI()*Polars!$G$24*Polars!$G$28)</f>
        <v>0.014280482673187801</v>
      </c>
      <c r="D57" s="53">
        <f>1.6/(1+(1+4*C57*Polars!$G$13/(PI()*Polars!$G$17^2))^0.5)</f>
        <v>0.7777598442542054</v>
      </c>
      <c r="E57" s="52">
        <f>Polars!$G$23*'Thrust vs Drag'!D57*(F$38-(1-F$38)/7.55)</f>
        <v>34.17871197233618</v>
      </c>
      <c r="F57" s="50">
        <f>0.5*F$38*$F$4*$A57^2*C57*Polars!$G$13</f>
        <v>374.894822655451</v>
      </c>
      <c r="G57" s="169">
        <f t="shared" si="4"/>
        <v>20.244320423394353</v>
      </c>
      <c r="H57" s="151">
        <f>2*Polars!$G$18*9.81/(L$38*$F$4*'Thrust vs Drag'!$A57^2*Polars!$G$13)</f>
        <v>0.33807635568749994</v>
      </c>
      <c r="I57" s="54">
        <f>Polars!$G$19+'Thrust vs Drag'!H57^2/(PI()*Polars!$G$24*Polars!$G$28)</f>
        <v>0.014610108187799344</v>
      </c>
      <c r="J57" s="53">
        <f>1.6/(1+(1+4*I57*Polars!$G$13/(PI()*Polars!$G$17^2))^0.5)</f>
        <v>0.7772748594559739</v>
      </c>
      <c r="K57" s="52">
        <f>Polars!$G$23*'Thrust vs Drag'!J57*(L$38-(1-L$38)/7.55)</f>
        <v>31.730474217760886</v>
      </c>
      <c r="L57" s="50">
        <f>0.5*L$38*$F$4*$A57^2*I57*Polars!$G$13</f>
        <v>360.35169296658756</v>
      </c>
      <c r="M57" s="152">
        <f t="shared" si="5"/>
        <v>19.45899142019573</v>
      </c>
      <c r="N57" s="151">
        <f>2*Polars!$G$18*9.81/(R$38*$F$4*'Thrust vs Drag'!$A57^2*Polars!$G$13)</f>
        <v>0.360173109010683</v>
      </c>
      <c r="O57" s="54">
        <f>Polars!$G$19+'Thrust vs Drag'!N57^2/(PI()*Polars!$G$24*Polars!$G$28)</f>
        <v>0.014989451579400074</v>
      </c>
      <c r="P57" s="53">
        <f>1.6/(1+(1+4*O57*Polars!$G$13/(PI()*Polars!$G$17^2))^0.5)</f>
        <v>0.7767181971291762</v>
      </c>
      <c r="Q57" s="52">
        <f>Polars!$G$23*'Thrust vs Drag'!P57*(R$38-(1-R$38)/7.55)</f>
        <v>29.396399636205544</v>
      </c>
      <c r="R57" s="50">
        <f>0.5*R$38*$F$4*$A57^2*O57*Polars!$G$13</f>
        <v>347.0263017084938</v>
      </c>
      <c r="S57" s="152">
        <f t="shared" si="6"/>
        <v>18.739420292258668</v>
      </c>
      <c r="T57" s="151">
        <f>2*Polars!$G$18*9.81/(X$38*$F$4*'Thrust vs Drag'!$A57^2*Polars!$G$13)</f>
        <v>0.38408116509016116</v>
      </c>
      <c r="U57" s="54">
        <f>Polars!$G$19+'Thrust vs Drag'!T57^2/(PI()*Polars!$G$24*Polars!$G$28)</f>
        <v>0.015426932429283582</v>
      </c>
      <c r="V57" s="53">
        <f>1.6/(1+(1+4*U57*Polars!$G$13/(PI()*Polars!$G$17^2))^0.5)</f>
        <v>0.7760781691359507</v>
      </c>
      <c r="W57" s="52">
        <f>Polars!$G$23*'Thrust vs Drag'!V57*(X$38-(1-X$38)/7.55)</f>
        <v>27.172720389400293</v>
      </c>
      <c r="X57" s="50">
        <f>0.5*X$38*$F$4*$A57^2*U57*Polars!$G$13</f>
        <v>334.9226355095651</v>
      </c>
      <c r="Y57" s="152">
        <f t="shared" si="7"/>
        <v>18.085822317516516</v>
      </c>
    </row>
    <row r="58" spans="1:25" ht="9" customHeight="1">
      <c r="A58" s="168">
        <v>56</v>
      </c>
      <c r="B58" s="151">
        <f>2*Polars!$G$18*9.81/(F$38*$F$4*'Thrust vs Drag'!$A58^2*Polars!$G$13)</f>
        <v>0.2953471895332201</v>
      </c>
      <c r="C58" s="54">
        <f>Polars!$G$19+'Thrust vs Drag'!B58^2/(PI()*Polars!$G$24*Polars!$G$28)</f>
        <v>0.0139446633439218</v>
      </c>
      <c r="D58" s="53">
        <f>1.6/(1+(1+4*C58*Polars!$G$13/(PI()*Polars!$G$17^2))^0.5)</f>
        <v>0.778255172368144</v>
      </c>
      <c r="E58" s="52">
        <f>Polars!$G$23*'Thrust vs Drag'!D58*(F$38-(1-F$38)/7.55)</f>
        <v>34.200479201723475</v>
      </c>
      <c r="F58" s="50">
        <f>0.5*F$38*$F$4*$A58^2*C58*Polars!$G$13</f>
        <v>393.69792371162293</v>
      </c>
      <c r="G58" s="169">
        <f t="shared" si="4"/>
        <v>22.047083727850886</v>
      </c>
      <c r="H58" s="151">
        <f>2*Polars!$G$18*9.81/(L$38*$F$4*'Thrust vs Drag'!$A58^2*Polars!$G$13)</f>
        <v>0.31435926440840234</v>
      </c>
      <c r="I58" s="54">
        <f>Polars!$G$19+'Thrust vs Drag'!H58^2/(PI()*Polars!$G$24*Polars!$G$28)</f>
        <v>0.014229662616865809</v>
      </c>
      <c r="J58" s="53">
        <f>1.6/(1+(1+4*I58*Polars!$G$13/(PI()*Polars!$G$17^2))^0.5)</f>
        <v>0.7778347231449808</v>
      </c>
      <c r="K58" s="52">
        <f>Polars!$G$23*'Thrust vs Drag'!J58*(L$38-(1-L$38)/7.55)</f>
        <v>31.753329376567812</v>
      </c>
      <c r="L58" s="50">
        <f>0.5*L$38*$F$4*$A58^2*I58*Polars!$G$13</f>
        <v>377.44725594148616</v>
      </c>
      <c r="M58" s="152">
        <f t="shared" si="5"/>
        <v>21.137046332723223</v>
      </c>
      <c r="N58" s="151">
        <f>2*Polars!$G$18*9.81/(R$38*$F$4*'Thrust vs Drag'!$A58^2*Polars!$G$13)</f>
        <v>0.33490586284284174</v>
      </c>
      <c r="O58" s="54">
        <f>Polars!$G$19+'Thrust vs Drag'!N58^2/(PI()*Polars!$G$24*Polars!$G$28)</f>
        <v>0.01455764872840736</v>
      </c>
      <c r="P58" s="53">
        <f>1.6/(1+(1+4*O58*Polars!$G$13/(PI()*Polars!$G$17^2))^0.5)</f>
        <v>0.7773519643204073</v>
      </c>
      <c r="Q58" s="52">
        <f>Polars!$G$23*'Thrust vs Drag'!P58*(R$38-(1-R$38)/7.55)</f>
        <v>29.420385779054527</v>
      </c>
      <c r="R58" s="50">
        <f>0.5*R$38*$F$4*$A58^2*O58*Polars!$G$13</f>
        <v>362.45693906764444</v>
      </c>
      <c r="S58" s="152">
        <f t="shared" si="6"/>
        <v>20.29758858778809</v>
      </c>
      <c r="T58" s="151">
        <f>2*Polars!$G$18*9.81/(X$38*$F$4*'Thrust vs Drag'!$A58^2*Polars!$G$13)</f>
        <v>0.3571366956004177</v>
      </c>
      <c r="U58" s="54">
        <f>Polars!$G$19+'Thrust vs Drag'!T58^2/(PI()*Polars!$G$24*Polars!$G$28)</f>
        <v>0.014935901377601287</v>
      </c>
      <c r="V58" s="53">
        <f>1.6/(1+(1+4*U58*Polars!$G$13/(PI()*Polars!$G$17^2))^0.5)</f>
        <v>0.776796683358298</v>
      </c>
      <c r="W58" s="52">
        <f>Polars!$G$23*'Thrust vs Drag'!V58*(X$38-(1-X$38)/7.55)</f>
        <v>27.1978776310753</v>
      </c>
      <c r="X58" s="50">
        <f>0.5*X$38*$F$4*$A58^2*U58*Polars!$G$13</f>
        <v>348.7264545239374</v>
      </c>
      <c r="Y58" s="152">
        <f t="shared" si="7"/>
        <v>19.528681453340493</v>
      </c>
    </row>
    <row r="59" spans="1:25" ht="9" customHeight="1">
      <c r="A59" s="168">
        <v>58</v>
      </c>
      <c r="B59" s="151">
        <f>2*Polars!$G$18*9.81/(F$38*$F$4*'Thrust vs Drag'!$A59^2*Polars!$G$13)</f>
        <v>0.2753296035601005</v>
      </c>
      <c r="C59" s="54">
        <f>Polars!$G$19+'Thrust vs Drag'!B59^2/(PI()*Polars!$G$24*Polars!$G$28)</f>
        <v>0.013663799808451801</v>
      </c>
      <c r="D59" s="53">
        <f>1.6/(1+(1+4*C59*Polars!$G$13/(PI()*Polars!$G$17^2))^0.5)</f>
        <v>0.7786703992850461</v>
      </c>
      <c r="E59" s="52">
        <f>Polars!$G$23*'Thrust vs Drag'!D59*(F$38-(1-F$38)/7.55)</f>
        <v>34.21872637827907</v>
      </c>
      <c r="F59" s="50">
        <f>0.5*F$38*$F$4*$A59^2*C59*Polars!$G$13</f>
        <v>413.8152716945485</v>
      </c>
      <c r="G59" s="169">
        <f t="shared" si="4"/>
        <v>24.001285758283814</v>
      </c>
      <c r="H59" s="151">
        <f>2*Polars!$G$18*9.81/(L$38*$F$4*'Thrust vs Drag'!$A59^2*Polars!$G$13)</f>
        <v>0.2930531073676426</v>
      </c>
      <c r="I59" s="54">
        <f>Polars!$G$19+'Thrust vs Drag'!H59^2/(PI()*Polars!$G$24*Polars!$G$28)</f>
        <v>0.013911475786048644</v>
      </c>
      <c r="J59" s="53">
        <f>1.6/(1+(1+4*I59*Polars!$G$13/(PI()*Polars!$G$17^2))^0.5)</f>
        <v>0.7783041911202261</v>
      </c>
      <c r="K59" s="52">
        <f>Polars!$G$23*'Thrust vs Drag'!J59*(L$38-(1-L$38)/7.55)</f>
        <v>31.77249433643157</v>
      </c>
      <c r="L59" s="50">
        <f>0.5*L$38*$F$4*$A59^2*I59*Polars!$G$13</f>
        <v>395.83555992272966</v>
      </c>
      <c r="M59" s="152">
        <f t="shared" si="5"/>
        <v>22.95846247551832</v>
      </c>
      <c r="N59" s="151">
        <f>2*Polars!$G$18*9.81/(R$38*$F$4*'Thrust vs Drag'!$A59^2*Polars!$G$13)</f>
        <v>0.3122071301650272</v>
      </c>
      <c r="O59" s="54">
        <f>Polars!$G$19+'Thrust vs Drag'!N59^2/(PI()*Polars!$G$24*Polars!$G$28)</f>
        <v>0.014196509077450058</v>
      </c>
      <c r="P59" s="53">
        <f>1.6/(1+(1+4*O59*Polars!$G$13/(PI()*Polars!$G$17^2))^0.5)</f>
        <v>0.7778835873098325</v>
      </c>
      <c r="Q59" s="52">
        <f>Polars!$G$23*'Thrust vs Drag'!P59*(R$38-(1-R$38)/7.55)</f>
        <v>29.440506077395288</v>
      </c>
      <c r="R59" s="50">
        <f>0.5*R$38*$F$4*$A59^2*O59*Polars!$G$13</f>
        <v>379.16363690907696</v>
      </c>
      <c r="S59" s="152">
        <f t="shared" si="6"/>
        <v>21.991490940726464</v>
      </c>
      <c r="T59" s="151">
        <f>2*Polars!$G$18*9.81/(X$38*$F$4*'Thrust vs Drag'!$A59^2*Polars!$G$13)</f>
        <v>0.33293123585104345</v>
      </c>
      <c r="U59" s="54">
        <f>Polars!$G$19+'Thrust vs Drag'!T59^2/(PI()*Polars!$G$24*Polars!$G$28)</f>
        <v>0.014525226037672293</v>
      </c>
      <c r="V59" s="53">
        <f>1.6/(1+(1+4*U59*Polars!$G$13/(PI()*Polars!$G$17^2))^0.5)</f>
        <v>0.7773996342514737</v>
      </c>
      <c r="W59" s="52">
        <f>Polars!$G$23*'Thrust vs Drag'!V59*(X$38-(1-X$38)/7.55)</f>
        <v>27.21898866947372</v>
      </c>
      <c r="X59" s="50">
        <f>0.5*X$38*$F$4*$A59^2*U59*Polars!$G$13</f>
        <v>363.7946346653999</v>
      </c>
      <c r="Y59" s="152">
        <f t="shared" si="7"/>
        <v>21.100088810593192</v>
      </c>
    </row>
    <row r="60" spans="1:25" ht="9" customHeight="1">
      <c r="A60" s="168">
        <v>60</v>
      </c>
      <c r="B60" s="151">
        <f>2*Polars!$G$18*9.81/(F$38*$F$4*'Thrust vs Drag'!$A60^2*Polars!$G$13)</f>
        <v>0.2572802184378273</v>
      </c>
      <c r="C60" s="54">
        <f>Polars!$G$19+'Thrust vs Drag'!B60^2/(PI()*Polars!$G$24*Polars!$G$28)</f>
        <v>0.013427444681878516</v>
      </c>
      <c r="D60" s="53">
        <f>1.6/(1+(1+4*C60*Polars!$G$13/(PI()*Polars!$G$17^2))^0.5)</f>
        <v>0.7790205038933166</v>
      </c>
      <c r="E60" s="52">
        <f>Polars!$G$23*'Thrust vs Drag'!D60*(F$38-(1-F$38)/7.55)</f>
        <v>34.23411175032504</v>
      </c>
      <c r="F60" s="50">
        <f>0.5*F$38*$F$4*$A60^2*C60*Polars!$G$13</f>
        <v>435.1859935430702</v>
      </c>
      <c r="G60" s="169">
        <f t="shared" si="4"/>
        <v>26.11115961258421</v>
      </c>
      <c r="H60" s="151">
        <f>2*Polars!$G$18*9.81/(L$38*$F$4*'Thrust vs Drag'!$A60^2*Polars!$G$13)</f>
        <v>0.27384184810687495</v>
      </c>
      <c r="I60" s="54">
        <f>Polars!$G$19+'Thrust vs Drag'!H60^2/(PI()*Polars!$G$24*Polars!$G$28)</f>
        <v>0.013643711982015149</v>
      </c>
      <c r="J60" s="53">
        <f>1.6/(1+(1+4*I60*Polars!$G$13/(PI()*Polars!$G$17^2))^0.5)</f>
        <v>0.7787001305307658</v>
      </c>
      <c r="K60" s="52">
        <f>Polars!$G$23*'Thrust vs Drag'!J60*(L$38-(1-L$38)/7.55)</f>
        <v>31.788657660261087</v>
      </c>
      <c r="L60" s="50">
        <f>0.5*L$38*$F$4*$A60^2*I60*Polars!$G$13</f>
        <v>415.45181333143773</v>
      </c>
      <c r="M60" s="152">
        <f t="shared" si="5"/>
        <v>24.927108799886263</v>
      </c>
      <c r="N60" s="151">
        <f>2*Polars!$G$18*9.81/(R$38*$F$4*'Thrust vs Drag'!$A60^2*Polars!$G$13)</f>
        <v>0.2917402182986532</v>
      </c>
      <c r="O60" s="54">
        <f>Polars!$G$19+'Thrust vs Drag'!N60^2/(PI()*Polars!$G$24*Polars!$G$28)</f>
        <v>0.013892599181244388</v>
      </c>
      <c r="P60" s="53">
        <f>1.6/(1+(1+4*O60*Polars!$G$13/(PI()*Polars!$G$17^2))^0.5)</f>
        <v>0.7783320777180435</v>
      </c>
      <c r="Q60" s="52">
        <f>Polars!$G$23*'Thrust vs Drag'!P60*(R$38-(1-R$38)/7.55)</f>
        <v>29.457480062711333</v>
      </c>
      <c r="R60" s="50">
        <f>0.5*R$38*$F$4*$A60^2*O60*Polars!$G$13</f>
        <v>397.077368860463</v>
      </c>
      <c r="S60" s="152">
        <f t="shared" si="6"/>
        <v>23.82464213162778</v>
      </c>
      <c r="T60" s="151">
        <f>2*Polars!$G$18*9.81/(X$38*$F$4*'Thrust vs Drag'!$A60^2*Polars!$G$13)</f>
        <v>0.31110574372303057</v>
      </c>
      <c r="U60" s="54">
        <f>Polars!$G$19+'Thrust vs Drag'!T60^2/(PI()*Polars!$G$24*Polars!$G$28)</f>
        <v>0.014179630366852958</v>
      </c>
      <c r="V60" s="53">
        <f>1.6/(1+(1+4*U60*Polars!$G$13/(PI()*Polars!$G$17^2))^0.5)</f>
        <v>0.7779084690692379</v>
      </c>
      <c r="W60" s="52">
        <f>Polars!$G$23*'Thrust vs Drag'!V60*(X$38-(1-X$38)/7.55)</f>
        <v>27.23680443440226</v>
      </c>
      <c r="X60" s="50">
        <f>0.5*X$38*$F$4*$A60^2*U60*Polars!$G$13</f>
        <v>380.05356763604664</v>
      </c>
      <c r="Y60" s="152">
        <f t="shared" si="7"/>
        <v>22.803214058162798</v>
      </c>
    </row>
    <row r="61" spans="1:25" ht="9" customHeight="1">
      <c r="A61" s="168">
        <v>62</v>
      </c>
      <c r="B61" s="151">
        <f>2*Polars!$G$18*9.81/(F$38*$F$4*'Thrust vs Drag'!$A61^2*Polars!$G$13)</f>
        <v>0.24094921601877686</v>
      </c>
      <c r="C61" s="54">
        <f>Polars!$G$19+'Thrust vs Drag'!B61^2/(PI()*Polars!$G$24*Polars!$G$28)</f>
        <v>0.013227396011917</v>
      </c>
      <c r="D61" s="53">
        <f>1.6/(1+(1+4*C61*Polars!$G$13/(PI()*Polars!$G$17^2))^0.5)</f>
        <v>0.779317315290406</v>
      </c>
      <c r="E61" s="52">
        <f>Polars!$G$23*'Thrust vs Drag'!D61*(F$38-(1-F$38)/7.55)</f>
        <v>34.247155148394725</v>
      </c>
      <c r="F61" s="50">
        <f>0.5*F$38*$F$4*$A61^2*C61*Polars!$G$13</f>
        <v>457.75887329209917</v>
      </c>
      <c r="G61" s="169">
        <f t="shared" si="4"/>
        <v>28.381050144110148</v>
      </c>
      <c r="H61" s="151">
        <f>2*Polars!$G$18*9.81/(L$38*$F$4*'Thrust vs Drag'!$A61^2*Polars!$G$13)</f>
        <v>0.2564595871968652</v>
      </c>
      <c r="I61" s="54">
        <f>Polars!$G$19+'Thrust vs Drag'!H61^2/(PI()*Polars!$G$24*Polars!$G$28)</f>
        <v>0.0134170793143115</v>
      </c>
      <c r="J61" s="53">
        <f>1.6/(1+(1+4*I61*Polars!$G$13/(PI()*Polars!$G$17^2))^0.5)</f>
        <v>0.7790358719828483</v>
      </c>
      <c r="K61" s="52">
        <f>Polars!$G$23*'Thrust vs Drag'!J61*(L$38-(1-L$38)/7.55)</f>
        <v>31.80236353966724</v>
      </c>
      <c r="L61" s="50">
        <f>0.5*L$38*$F$4*$A61^2*I61*Polars!$G$13</f>
        <v>436.2415033309154</v>
      </c>
      <c r="M61" s="152">
        <f t="shared" si="5"/>
        <v>27.046973206516757</v>
      </c>
      <c r="N61" s="151">
        <f>2*Polars!$G$18*9.81/(R$38*$F$4*'Thrust vs Drag'!$A61^2*Polars!$G$13)</f>
        <v>0.27322184856273457</v>
      </c>
      <c r="O61" s="54">
        <f>Polars!$G$19+'Thrust vs Drag'!N61^2/(PI()*Polars!$G$24*Polars!$G$28)</f>
        <v>0.013635372814270552</v>
      </c>
      <c r="P61" s="53">
        <f>1.6/(1+(1+4*O61*Polars!$G$13/(PI()*Polars!$G$17^2))^0.5)</f>
        <v>0.7787124743397543</v>
      </c>
      <c r="Q61" s="52">
        <f>Polars!$G$23*'Thrust vs Drag'!P61*(R$38-(1-R$38)/7.55)</f>
        <v>29.471876907221226</v>
      </c>
      <c r="R61" s="50">
        <f>0.5*R$38*$F$4*$A61^2*O61*Polars!$G$13</f>
        <v>416.14005911276394</v>
      </c>
      <c r="S61" s="152">
        <f t="shared" si="6"/>
        <v>25.800683664991364</v>
      </c>
      <c r="T61" s="151">
        <f>2*Polars!$G$18*9.81/(X$38*$F$4*'Thrust vs Drag'!$A61^2*Polars!$G$13)</f>
        <v>0.2913581366812981</v>
      </c>
      <c r="U61" s="54">
        <f>Polars!$G$19+'Thrust vs Drag'!T61^2/(PI()*Polars!$G$24*Polars!$G$28)</f>
        <v>0.0138871215675127</v>
      </c>
      <c r="V61" s="53">
        <f>1.6/(1+(1+4*U61*Polars!$G$13/(PI()*Polars!$G$17^2))^0.5)</f>
        <v>0.7783401705901287</v>
      </c>
      <c r="W61" s="52">
        <f>Polars!$G$23*'Thrust vs Drag'!V61*(X$38-(1-X$38)/7.55)</f>
        <v>27.2519195415981</v>
      </c>
      <c r="X61" s="50">
        <f>0.5*X$38*$F$4*$A61^2*U61*Polars!$G$13</f>
        <v>397.4413225925108</v>
      </c>
      <c r="Y61" s="152">
        <f t="shared" si="7"/>
        <v>24.64136200073567</v>
      </c>
    </row>
    <row r="62" spans="1:25" ht="9" customHeight="1">
      <c r="A62" s="168">
        <v>64</v>
      </c>
      <c r="B62" s="151">
        <f>2*Polars!$G$18*9.81/(F$38*$F$4*'Thrust vs Drag'!$A62^2*Polars!$G$13)</f>
        <v>0.22612519198637165</v>
      </c>
      <c r="C62" s="54">
        <f>Polars!$G$19+'Thrust vs Drag'!B62^2/(PI()*Polars!$G$24*Polars!$G$28)</f>
        <v>0.01305716227752838</v>
      </c>
      <c r="D62" s="53">
        <f>1.6/(1+(1+4*C62*Polars!$G$13/(PI()*Polars!$G$17^2))^0.5)</f>
        <v>0.779570242492283</v>
      </c>
      <c r="E62" s="52">
        <f>Polars!$G$23*'Thrust vs Drag'!D62*(F$38-(1-F$38)/7.55)</f>
        <v>34.258270052367706</v>
      </c>
      <c r="F62" s="50">
        <f>0.5*F$38*$F$4*$A62^2*C62*Polars!$G$13</f>
        <v>481.49057031085823</v>
      </c>
      <c r="G62" s="169">
        <f t="shared" si="4"/>
        <v>30.815396499894927</v>
      </c>
      <c r="H62" s="151">
        <f>2*Polars!$G$18*9.81/(L$38*$F$4*'Thrust vs Drag'!$A62^2*Polars!$G$13)</f>
        <v>0.240681311812683</v>
      </c>
      <c r="I62" s="54">
        <f>Polars!$G$19+'Thrust vs Drag'!H62^2/(PI()*Polars!$G$24*Polars!$G$28)</f>
        <v>0.013224223618919631</v>
      </c>
      <c r="J62" s="53">
        <f>1.6/(1+(1+4*I62*Polars!$G$13/(PI()*Polars!$G$17^2))^0.5)</f>
        <v>0.7793220257553629</v>
      </c>
      <c r="K62" s="52">
        <f>Polars!$G$23*'Thrust vs Drag'!J62*(L$38-(1-L$38)/7.55)</f>
        <v>31.814045115097898</v>
      </c>
      <c r="L62" s="50">
        <f>0.5*L$38*$F$4*$A62^2*I62*Polars!$G$13</f>
        <v>458.15849936941595</v>
      </c>
      <c r="M62" s="152">
        <f t="shared" si="5"/>
        <v>29.32214395964262</v>
      </c>
      <c r="N62" s="151">
        <f>2*Polars!$G$18*9.81/(R$38*$F$4*'Thrust vs Drag'!$A62^2*Polars!$G$13)</f>
        <v>0.2564123012390507</v>
      </c>
      <c r="O62" s="54">
        <f>Polars!$G$19+'Thrust vs Drag'!N62^2/(PI()*Polars!$G$24*Polars!$G$28)</f>
        <v>0.01341648305588527</v>
      </c>
      <c r="P62" s="53">
        <f>1.6/(1+(1+4*O62*Polars!$G$13/(PI()*Polars!$G$17^2))^0.5)</f>
        <v>0.7790367560547617</v>
      </c>
      <c r="Q62" s="52">
        <f>Polars!$G$23*'Thrust vs Drag'!P62*(R$38-(1-R$38)/7.55)</f>
        <v>29.48414997475628</v>
      </c>
      <c r="R62" s="50">
        <f>0.5*R$38*$F$4*$A62^2*O62*Polars!$G$13</f>
        <v>436.3025620100843</v>
      </c>
      <c r="S62" s="152">
        <f t="shared" si="6"/>
        <v>27.923363968645393</v>
      </c>
      <c r="T62" s="151">
        <f>2*Polars!$G$18*9.81/(X$38*$F$4*'Thrust vs Drag'!$A62^2*Polars!$G$13)</f>
        <v>0.27343278256906983</v>
      </c>
      <c r="U62" s="54">
        <f>Polars!$G$19+'Thrust vs Drag'!T62^2/(PI()*Polars!$G$24*Polars!$G$28)</f>
        <v>0.01363820781436052</v>
      </c>
      <c r="V62" s="53">
        <f>1.6/(1+(1+4*U62*Polars!$G$13/(PI()*Polars!$G$17^2))^0.5)</f>
        <v>0.7787082778271698</v>
      </c>
      <c r="W62" s="52">
        <f>Polars!$G$23*'Thrust vs Drag'!V62*(X$38-(1-X$38)/7.55)</f>
        <v>27.26480803070039</v>
      </c>
      <c r="X62" s="50">
        <f>0.5*X$38*$F$4*$A62^2*U62*Polars!$G$13</f>
        <v>415.90549162231</v>
      </c>
      <c r="Y62" s="152">
        <f t="shared" si="7"/>
        <v>26.61795146382784</v>
      </c>
    </row>
    <row r="63" spans="1:25" ht="9" customHeight="1">
      <c r="A63" s="168">
        <v>66</v>
      </c>
      <c r="B63" s="151">
        <f>2*Polars!$G$18*9.81/(F$38*$F$4*'Thrust vs Drag'!$A63^2*Polars!$G$13)</f>
        <v>0.2126282797006837</v>
      </c>
      <c r="C63" s="54">
        <f>Polars!$G$19+'Thrust vs Drag'!B63^2/(PI()*Polars!$G$24*Polars!$G$28)</f>
        <v>0.012911566615585353</v>
      </c>
      <c r="D63" s="53">
        <f>1.6/(1+(1+4*C63*Polars!$G$13/(PI()*Polars!$G$17^2))^0.5)</f>
        <v>0.7797868208048155</v>
      </c>
      <c r="E63" s="52">
        <f>Polars!$G$23*'Thrust vs Drag'!D63*(F$38-(1-F$38)/7.55)</f>
        <v>34.26778760179918</v>
      </c>
      <c r="F63" s="50">
        <f>0.5*F$38*$F$4*$A63^2*C63*Polars!$G$13</f>
        <v>506.34420960191903</v>
      </c>
      <c r="G63" s="169">
        <f t="shared" si="4"/>
        <v>33.41871783372666</v>
      </c>
      <c r="H63" s="151">
        <f>2*Polars!$G$18*9.81/(L$38*$F$4*'Thrust vs Drag'!$A63^2*Polars!$G$13)</f>
        <v>0.2263155769478305</v>
      </c>
      <c r="I63" s="54">
        <f>Polars!$G$19+'Thrust vs Drag'!H63^2/(PI()*Polars!$G$24*Polars!$G$28)</f>
        <v>0.01305928009153415</v>
      </c>
      <c r="J63" s="53">
        <f>1.6/(1+(1+4*I63*Polars!$G$13/(PI()*Polars!$G$17^2))^0.5)</f>
        <v>0.7795670939276657</v>
      </c>
      <c r="K63" s="52">
        <f>Polars!$G$23*'Thrust vs Drag'!J63*(L$38-(1-L$38)/7.55)</f>
        <v>31.824049464560954</v>
      </c>
      <c r="L63" s="50">
        <f>0.5*L$38*$F$4*$A63^2*I63*Polars!$G$13</f>
        <v>481.1635527339754</v>
      </c>
      <c r="M63" s="152">
        <f t="shared" si="5"/>
        <v>31.756794480442377</v>
      </c>
      <c r="N63" s="151">
        <f>2*Polars!$G$18*9.81/(R$38*$F$4*'Thrust vs Drag'!$A63^2*Polars!$G$13)</f>
        <v>0.24110761842863904</v>
      </c>
      <c r="O63" s="54">
        <f>Polars!$G$19+'Thrust vs Drag'!N63^2/(PI()*Polars!$G$24*Polars!$G$28)</f>
        <v>0.013229273397475847</v>
      </c>
      <c r="P63" s="53">
        <f>1.6/(1+(1+4*O63*Polars!$G$13/(PI()*Polars!$G$17^2))^0.5)</f>
        <v>0.7793145277445785</v>
      </c>
      <c r="Q63" s="52">
        <f>Polars!$G$23*'Thrust vs Drag'!P63*(R$38-(1-R$38)/7.55)</f>
        <v>29.494662780599715</v>
      </c>
      <c r="R63" s="50">
        <f>0.5*R$38*$F$4*$A63^2*O63*Polars!$G$13</f>
        <v>457.5230635339781</v>
      </c>
      <c r="S63" s="152">
        <f t="shared" si="6"/>
        <v>30.19652219324255</v>
      </c>
      <c r="T63" s="151">
        <f>2*Polars!$G$18*9.81/(X$38*$F$4*'Thrust vs Drag'!$A63^2*Polars!$G$13)</f>
        <v>0.2571121848950666</v>
      </c>
      <c r="U63" s="54">
        <f>Polars!$G$19+'Thrust vs Drag'!T63^2/(PI()*Polars!$G$24*Polars!$G$28)</f>
        <v>0.01342531955935589</v>
      </c>
      <c r="V63" s="53">
        <f>1.6/(1+(1+4*U63*Polars!$G$13/(PI()*Polars!$G$17^2))^0.5)</f>
        <v>0.779023654583508</v>
      </c>
      <c r="W63" s="52">
        <f>Polars!$G$23*'Thrust vs Drag'!V63*(X$38-(1-X$38)/7.55)</f>
        <v>27.275850274585224</v>
      </c>
      <c r="X63" s="50">
        <f>0.5*X$38*$F$4*$A63^2*U63*Polars!$G$13</f>
        <v>435.4014851197241</v>
      </c>
      <c r="Y63" s="152">
        <f t="shared" si="7"/>
        <v>28.73649801790179</v>
      </c>
    </row>
    <row r="64" spans="1:25" ht="9" customHeight="1">
      <c r="A64" s="168">
        <v>68</v>
      </c>
      <c r="B64" s="151">
        <f>2*Polars!$G$18*9.81/(F$38*$F$4*'Thrust vs Drag'!$A64^2*Polars!$G$13)</f>
        <v>0.20030466833394855</v>
      </c>
      <c r="C64" s="54">
        <f>Polars!$G$19+'Thrust vs Drag'!B64^2/(PI()*Polars!$G$24*Polars!$G$28)</f>
        <v>0.012786451156237352</v>
      </c>
      <c r="D64" s="53">
        <f>1.6/(1+(1+4*C64*Polars!$G$13/(PI()*Polars!$G$17^2))^0.5)</f>
        <v>0.7799731241899225</v>
      </c>
      <c r="E64" s="52">
        <f>Polars!$G$23*'Thrust vs Drag'!D64*(F$38-(1-F$38)/7.55)</f>
        <v>34.27597471738001</v>
      </c>
      <c r="F64" s="50">
        <f>0.5*F$38*$F$4*$A64^2*C64*Polars!$G$13</f>
        <v>532.2882579477791</v>
      </c>
      <c r="G64" s="169">
        <f t="shared" si="4"/>
        <v>36.19560154044898</v>
      </c>
      <c r="H64" s="151">
        <f>2*Polars!$G$18*9.81/(L$38*$F$4*'Thrust vs Drag'!$A64^2*Polars!$G$13)</f>
        <v>0.2131986706714424</v>
      </c>
      <c r="I64" s="54">
        <f>Polars!$G$19+'Thrust vs Drag'!H64^2/(PI()*Polars!$G$24*Polars!$G$28)</f>
        <v>0.012917538332748852</v>
      </c>
      <c r="J64" s="53">
        <f>1.6/(1+(1+4*I64*Polars!$G$13/(PI()*Polars!$G$17^2))^0.5)</f>
        <v>0.7797779330045604</v>
      </c>
      <c r="K64" s="52">
        <f>Polars!$G$23*'Thrust vs Drag'!J64*(L$38-(1-L$38)/7.55)</f>
        <v>31.832656489234555</v>
      </c>
      <c r="L64" s="50">
        <f>0.5*L$38*$F$4*$A64^2*I64*Polars!$G$13</f>
        <v>505.2231003523525</v>
      </c>
      <c r="M64" s="152">
        <f t="shared" si="5"/>
        <v>34.355170823959966</v>
      </c>
      <c r="N64" s="151">
        <f>2*Polars!$G$18*9.81/(R$38*$F$4*'Thrust vs Drag'!$A64^2*Polars!$G$13)</f>
        <v>0.2271333879487785</v>
      </c>
      <c r="O64" s="54">
        <f>Polars!$G$19+'Thrust vs Drag'!N64^2/(PI()*Polars!$G$24*Polars!$G$28)</f>
        <v>0.013068397571275453</v>
      </c>
      <c r="P64" s="53">
        <f>1.6/(1+(1+4*O64*Polars!$G$13/(PI()*Polars!$G$17^2))^0.5)</f>
        <v>0.7795535394987962</v>
      </c>
      <c r="Q64" s="52">
        <f>Polars!$G$23*'Thrust vs Drag'!P64*(R$38-(1-R$38)/7.55)</f>
        <v>29.503708641853773</v>
      </c>
      <c r="R64" s="50">
        <f>0.5*R$38*$F$4*$A64^2*O64*Polars!$G$13</f>
        <v>479.7658069215905</v>
      </c>
      <c r="S64" s="152">
        <f t="shared" si="6"/>
        <v>32.62407487066815</v>
      </c>
      <c r="T64" s="151">
        <f>2*Polars!$G$18*9.81/(X$38*$F$4*'Thrust vs Drag'!$A64^2*Polars!$G$13)</f>
        <v>0.24221035410962585</v>
      </c>
      <c r="U64" s="54">
        <f>Polars!$G$19+'Thrust vs Drag'!T64^2/(PI()*Polars!$G$24*Polars!$G$28)</f>
        <v>0.013242377214376396</v>
      </c>
      <c r="V64" s="53">
        <f>1.6/(1+(1+4*U64*Polars!$G$13/(PI()*Polars!$G$17^2))^0.5)</f>
        <v>0.7792950722677062</v>
      </c>
      <c r="W64" s="52">
        <f>Polars!$G$23*'Thrust vs Drag'!V64*(X$38-(1-X$38)/7.55)</f>
        <v>27.285353385399006</v>
      </c>
      <c r="X64" s="50">
        <f>0.5*X$38*$F$4*$A64^2*U64*Polars!$G$13</f>
        <v>455.8911728112999</v>
      </c>
      <c r="Y64" s="152">
        <f t="shared" si="7"/>
        <v>31.000599751168394</v>
      </c>
    </row>
    <row r="65" spans="1:25" ht="9" customHeight="1">
      <c r="A65" s="168">
        <v>70</v>
      </c>
      <c r="B65" s="151">
        <f>2*Polars!$G$18*9.81/(F$38*$F$4*'Thrust vs Drag'!$A65^2*Polars!$G$13)</f>
        <v>0.18902220130126085</v>
      </c>
      <c r="C65" s="54">
        <f>Polars!$G$19+'Thrust vs Drag'!B65^2/(PI()*Polars!$G$24*Polars!$G$28)</f>
        <v>0.012678454105670369</v>
      </c>
      <c r="D65" s="53">
        <f>1.6/(1+(1+4*C65*Polars!$G$13/(PI()*Polars!$G$17^2))^0.5)</f>
        <v>0.7801340788895074</v>
      </c>
      <c r="E65" s="52">
        <f>Polars!$G$23*'Thrust vs Drag'!D65*(F$38-(1-F$38)/7.55)</f>
        <v>34.28304788316293</v>
      </c>
      <c r="F65" s="50">
        <f>0.5*F$38*$F$4*$A65^2*C65*Polars!$G$13</f>
        <v>559.2956215319833</v>
      </c>
      <c r="G65" s="169">
        <f t="shared" si="4"/>
        <v>39.15069350723883</v>
      </c>
      <c r="H65" s="151">
        <f>2*Polars!$G$18*9.81/(L$38*$F$4*'Thrust vs Drag'!$A65^2*Polars!$G$13)</f>
        <v>0.20118992922137746</v>
      </c>
      <c r="I65" s="54">
        <f>Polars!$G$19+'Thrust vs Drag'!H65^2/(PI()*Polars!$G$24*Polars!$G$28)</f>
        <v>0.012795189807868234</v>
      </c>
      <c r="J65" s="53">
        <f>1.6/(1+(1+4*I65*Polars!$G$13/(PI()*Polars!$G$17^2))^0.5)</f>
        <v>0.7799601061727838</v>
      </c>
      <c r="K65" s="52">
        <f>Polars!$G$23*'Thrust vs Drag'!J65*(L$38-(1-L$38)/7.55)</f>
        <v>31.840093293535062</v>
      </c>
      <c r="L65" s="50">
        <f>0.5*L$38*$F$4*$A65^2*I65*Polars!$G$13</f>
        <v>530.3083043262616</v>
      </c>
      <c r="M65" s="152">
        <f t="shared" si="5"/>
        <v>37.121581302838315</v>
      </c>
      <c r="N65" s="151">
        <f>2*Polars!$G$18*9.81/(R$38*$F$4*'Thrust vs Drag'!$A65^2*Polars!$G$13)</f>
        <v>0.21433975221941867</v>
      </c>
      <c r="O65" s="54">
        <f>Polars!$G$19+'Thrust vs Drag'!N65^2/(PI()*Polars!$G$24*Polars!$G$28)</f>
        <v>0.012929532919155655</v>
      </c>
      <c r="P65" s="53">
        <f>1.6/(1+(1+4*O65*Polars!$G$13/(PI()*Polars!$G$17^2))^0.5)</f>
        <v>0.7797600824827418</v>
      </c>
      <c r="Q65" s="52">
        <f>Polars!$G$23*'Thrust vs Drag'!P65*(R$38-(1-R$38)/7.55)</f>
        <v>29.511525659815444</v>
      </c>
      <c r="R65" s="50">
        <f>0.5*R$38*$F$4*$A65^2*O65*Polars!$G$13</f>
        <v>503.00006942254845</v>
      </c>
      <c r="S65" s="152">
        <f t="shared" si="6"/>
        <v>35.21000485957839</v>
      </c>
      <c r="T65" s="151">
        <f>2*Polars!$G$18*9.81/(X$38*$F$4*'Thrust vs Drag'!$A65^2*Polars!$G$13)</f>
        <v>0.22856748518426737</v>
      </c>
      <c r="U65" s="54">
        <f>Polars!$G$19+'Thrust vs Drag'!T65^2/(PI()*Polars!$G$24*Polars!$G$28)</f>
        <v>0.013084465204265486</v>
      </c>
      <c r="V65" s="53">
        <f>1.6/(1+(1+4*U65*Polars!$G$13/(PI()*Polars!$G$17^2))^0.5)</f>
        <v>0.7795296549454842</v>
      </c>
      <c r="W65" s="52">
        <f>Polars!$G$23*'Thrust vs Drag'!V65*(X$38-(1-X$38)/7.55)</f>
        <v>27.29356679709509</v>
      </c>
      <c r="X65" s="50">
        <f>0.5*X$38*$F$4*$A65^2*U65*Polars!$G$13</f>
        <v>477.3417925905307</v>
      </c>
      <c r="Y65" s="152">
        <f t="shared" si="7"/>
        <v>33.41392548133715</v>
      </c>
    </row>
    <row r="66" spans="1:25" ht="9" customHeight="1">
      <c r="A66" s="168">
        <v>72</v>
      </c>
      <c r="B66" s="151">
        <f>2*Polars!$G$18*9.81/(F$38*$F$4*'Thrust vs Drag'!$A66^2*Polars!$G$13)</f>
        <v>0.17866681835960227</v>
      </c>
      <c r="C66" s="54">
        <f>Polars!$G$19+'Thrust vs Drag'!B66^2/(PI()*Polars!$G$24*Polars!$G$28)</f>
        <v>0.012584840220813328</v>
      </c>
      <c r="D66" s="53">
        <f>1.6/(1+(1+4*C66*Polars!$G$13/(PI()*Polars!$G$17^2))^0.5)</f>
        <v>0.7802737037157677</v>
      </c>
      <c r="E66" s="52">
        <f>Polars!$G$23*'Thrust vs Drag'!D66*(F$38-(1-F$38)/7.55)</f>
        <v>34.28918370613732</v>
      </c>
      <c r="F66" s="50">
        <f>0.5*F$38*$F$4*$A66^2*C66*Polars!$G$13</f>
        <v>587.3429165232129</v>
      </c>
      <c r="G66" s="169">
        <f t="shared" si="4"/>
        <v>42.288689989671326</v>
      </c>
      <c r="H66" s="151">
        <f>2*Polars!$G$18*9.81/(L$38*$F$4*'Thrust vs Drag'!$A66^2*Polars!$G$13)</f>
        <v>0.1901679500742187</v>
      </c>
      <c r="I66" s="54">
        <f>Polars!$G$19+'Thrust vs Drag'!H66^2/(PI()*Polars!$G$24*Polars!$G$28)</f>
        <v>0.012689135793795886</v>
      </c>
      <c r="J66" s="53">
        <f>1.6/(1+(1+4*I66*Polars!$G$13/(PI()*Polars!$G$17^2))^0.5)</f>
        <v>0.780118153458467</v>
      </c>
      <c r="K66" s="52">
        <f>Polars!$G$23*'Thrust vs Drag'!J66*(L$38-(1-L$38)/7.55)</f>
        <v>31.846545213679587</v>
      </c>
      <c r="L66" s="50">
        <f>0.5*L$38*$F$4*$A66^2*I66*Polars!$G$13</f>
        <v>556.3942755615346</v>
      </c>
      <c r="M66" s="152">
        <f t="shared" si="5"/>
        <v>40.060387840430494</v>
      </c>
      <c r="N66" s="151">
        <f>2*Polars!$G$18*9.81/(R$38*$F$4*'Thrust vs Drag'!$A66^2*Polars!$G$13)</f>
        <v>0.20259737381850915</v>
      </c>
      <c r="O66" s="54">
        <f>Polars!$G$19+'Thrust vs Drag'!N66^2/(PI()*Polars!$G$24*Polars!$G$28)</f>
        <v>0.012809162413794553</v>
      </c>
      <c r="P66" s="53">
        <f>1.6/(1+(1+4*O66*Polars!$G$13/(PI()*Polars!$G$17^2))^0.5)</f>
        <v>0.7799392928889034</v>
      </c>
      <c r="Q66" s="52">
        <f>Polars!$G$23*'Thrust vs Drag'!P66*(R$38-(1-R$38)/7.55)</f>
        <v>29.518308223604944</v>
      </c>
      <c r="R66" s="50">
        <f>0.5*R$38*$F$4*$A66^2*O66*Polars!$G$13</f>
        <v>527.1993351853995</v>
      </c>
      <c r="S66" s="152">
        <f t="shared" si="6"/>
        <v>37.95835213334877</v>
      </c>
      <c r="T66" s="151">
        <f>2*Polars!$G$18*9.81/(X$38*$F$4*'Thrust vs Drag'!$A66^2*Polars!$G$13)</f>
        <v>0.21604565536321568</v>
      </c>
      <c r="U66" s="54">
        <f>Polars!$G$19+'Thrust vs Drag'!T66^2/(PI()*Polars!$G$24*Polars!$G$28)</f>
        <v>0.012947584088953008</v>
      </c>
      <c r="V66" s="53">
        <f>1.6/(1+(1+4*U66*Polars!$G$13/(PI()*Polars!$G$17^2))^0.5)</f>
        <v>0.7797332215060808</v>
      </c>
      <c r="W66" s="52">
        <f>Polars!$G$23*'Thrust vs Drag'!V66*(X$38-(1-X$38)/7.55)</f>
        <v>27.30069424565853</v>
      </c>
      <c r="X66" s="50">
        <f>0.5*X$38*$F$4*$A66^2*U66*Polars!$G$13</f>
        <v>499.72506850103827</v>
      </c>
      <c r="Y66" s="152">
        <f t="shared" si="7"/>
        <v>35.980204932074756</v>
      </c>
    </row>
    <row r="67" spans="1:25" ht="9" customHeight="1">
      <c r="A67" s="168">
        <v>74</v>
      </c>
      <c r="B67" s="151">
        <f>2*Polars!$G$18*9.81/(F$38*$F$4*'Thrust vs Drag'!$A67^2*Polars!$G$13)</f>
        <v>0.16913966150039778</v>
      </c>
      <c r="C67" s="54">
        <f>Polars!$G$19+'Thrust vs Drag'!B67^2/(PI()*Polars!$G$24*Polars!$G$28)</f>
        <v>0.012503370837575639</v>
      </c>
      <c r="D67" s="53">
        <f>1.6/(1+(1+4*C67*Polars!$G$13/(PI()*Polars!$G$17^2))^0.5)</f>
        <v>0.7803952954612435</v>
      </c>
      <c r="E67" s="52">
        <f>Polars!$G$23*'Thrust vs Drag'!D67*(F$38-(1-F$38)/7.55)</f>
        <v>34.29452706408713</v>
      </c>
      <c r="F67" s="50">
        <f>0.5*F$38*$F$4*$A67^2*C67*Polars!$G$13</f>
        <v>616.4098757456676</v>
      </c>
      <c r="G67" s="169">
        <f t="shared" si="4"/>
        <v>45.6143308051794</v>
      </c>
      <c r="H67" s="151">
        <f>2*Polars!$G$18*9.81/(L$38*$F$4*'Thrust vs Drag'!$A67^2*Polars!$G$13)</f>
        <v>0.18002751153848606</v>
      </c>
      <c r="I67" s="54">
        <f>Polars!$G$19+'Thrust vs Drag'!H67^2/(PI()*Polars!$G$24*Polars!$G$28)</f>
        <v>0.012596840135629901</v>
      </c>
      <c r="J67" s="53">
        <f>1.6/(1+(1+4*I67*Polars!$G$13/(PI()*Polars!$G$17^2))^0.5)</f>
        <v>0.7802558003608017</v>
      </c>
      <c r="K67" s="52">
        <f>Polars!$G$23*'Thrust vs Drag'!J67*(L$38-(1-L$38)/7.55)</f>
        <v>31.85216433467977</v>
      </c>
      <c r="L67" s="50">
        <f>0.5*L$38*$F$4*$A67^2*I67*Polars!$G$13</f>
        <v>583.4594422447198</v>
      </c>
      <c r="M67" s="152">
        <f t="shared" si="5"/>
        <v>43.17599872610926</v>
      </c>
      <c r="N67" s="151">
        <f>2*Polars!$G$18*9.81/(R$38*$F$4*'Thrust vs Drag'!$A67^2*Polars!$G$13)</f>
        <v>0.1917941537390708</v>
      </c>
      <c r="O67" s="54">
        <f>Polars!$G$19+'Thrust vs Drag'!N67^2/(PI()*Polars!$G$24*Polars!$G$28)</f>
        <v>0.012704407538524146</v>
      </c>
      <c r="P67" s="53">
        <f>1.6/(1+(1+4*O67*Polars!$G$13/(PI()*Polars!$G$17^2))^0.5)</f>
        <v>0.780095386899186</v>
      </c>
      <c r="Q67" s="52">
        <f>Polars!$G$23*'Thrust vs Drag'!P67*(R$38-(1-R$38)/7.55)</f>
        <v>29.52421590276586</v>
      </c>
      <c r="R67" s="50">
        <f>0.5*R$38*$F$4*$A67^2*O67*Polars!$G$13</f>
        <v>552.3406224576865</v>
      </c>
      <c r="S67" s="152">
        <f t="shared" si="6"/>
        <v>40.87320606186881</v>
      </c>
      <c r="T67" s="151">
        <f>2*Polars!$G$18*9.81/(X$38*$F$4*'Thrust vs Drag'!$A67^2*Polars!$G$13)</f>
        <v>0.2045253245805168</v>
      </c>
      <c r="U67" s="54">
        <f>Polars!$G$19+'Thrust vs Drag'!T67^2/(PI()*Polars!$G$24*Polars!$G$28)</f>
        <v>0.012828460520281287</v>
      </c>
      <c r="V67" s="53">
        <f>1.6/(1+(1+4*U67*Polars!$G$13/(PI()*Polars!$G$17^2))^0.5)</f>
        <v>0.7799105504655431</v>
      </c>
      <c r="W67" s="52">
        <f>Polars!$G$23*'Thrust vs Drag'!V67*(X$38-(1-X$38)/7.55)</f>
        <v>27.306903040627954</v>
      </c>
      <c r="X67" s="50">
        <f>0.5*X$38*$F$4*$A67^2*U67*Polars!$G$13</f>
        <v>523.0164932766254</v>
      </c>
      <c r="Y67" s="152">
        <f t="shared" si="7"/>
        <v>38.70322050247028</v>
      </c>
    </row>
    <row r="68" spans="1:25" ht="9" customHeight="1">
      <c r="A68" s="168">
        <v>76</v>
      </c>
      <c r="B68" s="151">
        <f>2*Polars!$G$18*9.81/(F$38*$F$4*'Thrust vs Drag'!$A68^2*Polars!$G$13)</f>
        <v>0.16035470678257932</v>
      </c>
      <c r="C68" s="54">
        <f>Polars!$G$19+'Thrust vs Drag'!B68^2/(PI()*Polars!$G$24*Polars!$G$28)</f>
        <v>0.0124322034593051</v>
      </c>
      <c r="D68" s="53">
        <f>1.6/(1+(1+4*C68*Polars!$G$13/(PI()*Polars!$G$17^2))^0.5)</f>
        <v>0.7805015729348275</v>
      </c>
      <c r="E68" s="52">
        <f>Polars!$G$23*'Thrust vs Drag'!D68*(F$38-(1-F$38)/7.55)</f>
        <v>34.29919743526354</v>
      </c>
      <c r="F68" s="50">
        <f>0.5*F$38*$F$4*$A68^2*C68*Polars!$G$13</f>
        <v>646.4788631740848</v>
      </c>
      <c r="G68" s="169">
        <f t="shared" si="4"/>
        <v>49.13239360123045</v>
      </c>
      <c r="H68" s="151">
        <f>2*Polars!$G$18*9.81/(L$38*$F$4*'Thrust vs Drag'!$A68^2*Polars!$G$13)</f>
        <v>0.1706770521441741</v>
      </c>
      <c r="I68" s="54">
        <f>Polars!$G$19+'Thrust vs Drag'!H68^2/(PI()*Polars!$G$24*Polars!$G$28)</f>
        <v>0.01251621549166686</v>
      </c>
      <c r="J68" s="53">
        <f>1.6/(1+(1+4*I68*Polars!$G$13/(PI()*Polars!$G$17^2))^0.5)</f>
        <v>0.7803761200487515</v>
      </c>
      <c r="K68" s="52">
        <f>Polars!$G$23*'Thrust vs Drag'!J68*(L$38-(1-L$38)/7.55)</f>
        <v>31.857076111652788</v>
      </c>
      <c r="L68" s="50">
        <f>0.5*L$38*$F$4*$A68^2*I68*Polars!$G$13</f>
        <v>611.4850330851965</v>
      </c>
      <c r="M68" s="152">
        <f t="shared" si="5"/>
        <v>46.47286251447493</v>
      </c>
      <c r="N68" s="151">
        <f>2*Polars!$G$18*9.81/(R$38*$F$4*'Thrust vs Drag'!$A68^2*Polars!$G$13)</f>
        <v>0.18183254603101656</v>
      </c>
      <c r="O68" s="54">
        <f>Polars!$G$19+'Thrust vs Drag'!N68^2/(PI()*Polars!$G$24*Polars!$G$28)</f>
        <v>0.012612899176268576</v>
      </c>
      <c r="P68" s="53">
        <f>1.6/(1+(1+4*O68*Polars!$G$13/(PI()*Polars!$G$17^2))^0.5)</f>
        <v>0.7802318435050362</v>
      </c>
      <c r="Q68" s="52">
        <f>Polars!$G$23*'Thrust vs Drag'!P68*(R$38-(1-R$38)/7.55)</f>
        <v>29.529380366445736</v>
      </c>
      <c r="R68" s="50">
        <f>0.5*R$38*$F$4*$A68^2*O68*Polars!$G$13</f>
        <v>578.4039330526418</v>
      </c>
      <c r="S68" s="152">
        <f t="shared" si="6"/>
        <v>43.95869891200078</v>
      </c>
      <c r="T68" s="151">
        <f>2*Polars!$G$18*9.81/(X$38*$F$4*'Thrust vs Drag'!$A68^2*Polars!$G$13)</f>
        <v>0.1939024718495343</v>
      </c>
      <c r="U68" s="54">
        <f>Polars!$G$19+'Thrust vs Drag'!T68^2/(PI()*Polars!$G$24*Polars!$G$28)</f>
        <v>0.01272440042143577</v>
      </c>
      <c r="V68" s="53">
        <f>1.6/(1+(1+4*U68*Polars!$G$13/(PI()*Polars!$G$17^2))^0.5)</f>
        <v>0.7800655862073383</v>
      </c>
      <c r="W68" s="52">
        <f>Polars!$G$23*'Thrust vs Drag'!V68*(X$38-(1-X$38)/7.55)</f>
        <v>27.312331286170355</v>
      </c>
      <c r="X68" s="50">
        <f>0.5*X$38*$F$4*$A68^2*U68*Polars!$G$13</f>
        <v>547.1947412639289</v>
      </c>
      <c r="Y68" s="152">
        <f t="shared" si="7"/>
        <v>41.586800336058594</v>
      </c>
    </row>
    <row r="69" spans="1:25" ht="9" customHeight="1">
      <c r="A69" s="168">
        <v>78</v>
      </c>
      <c r="B69" s="151">
        <f>2*Polars!$G$18*9.81/(F$38*$F$4*'Thrust vs Drag'!$A69^2*Polars!$G$13)</f>
        <v>0.15223681564368477</v>
      </c>
      <c r="C69" s="54">
        <f>Polars!$G$19+'Thrust vs Drag'!B69^2/(PI()*Polars!$G$24*Polars!$G$28)</f>
        <v>0.01236981362062901</v>
      </c>
      <c r="D69" s="53">
        <f>1.6/(1+(1+4*C69*Polars!$G$13/(PI()*Polars!$G$17^2))^0.5)</f>
        <v>0.7805947895839224</v>
      </c>
      <c r="E69" s="52">
        <f>Polars!$G$23*'Thrust vs Drag'!D69*(F$38-(1-F$38)/7.55)</f>
        <v>34.30329384757381</v>
      </c>
      <c r="F69" s="50">
        <f>0.5*F$38*$F$4*$A69^2*C69*Polars!$G$13</f>
        <v>677.5344744272033</v>
      </c>
      <c r="G69" s="169">
        <f t="shared" si="4"/>
        <v>52.84768900532186</v>
      </c>
      <c r="H69" s="151">
        <f>2*Polars!$G$18*9.81/(L$38*$F$4*'Thrust vs Drag'!$A69^2*Polars!$G$13)</f>
        <v>0.16203659651294375</v>
      </c>
      <c r="I69" s="54">
        <f>Polars!$G$19+'Thrust vs Drag'!H69^2/(PI()*Polars!$G$24*Polars!$G$28)</f>
        <v>0.01244553481391238</v>
      </c>
      <c r="J69" s="53">
        <f>1.6/(1+(1+4*I69*Polars!$G$13/(PI()*Polars!$G$17^2))^0.5)</f>
        <v>0.7804816602641373</v>
      </c>
      <c r="K69" s="52">
        <f>Polars!$G$23*'Thrust vs Drag'!J69*(L$38-(1-L$38)/7.55)</f>
        <v>31.861384550350497</v>
      </c>
      <c r="L69" s="50">
        <f>0.5*L$38*$F$4*$A69^2*I69*Polars!$G$13</f>
        <v>640.4546520916248</v>
      </c>
      <c r="M69" s="152">
        <f t="shared" si="5"/>
        <v>49.955462863146735</v>
      </c>
      <c r="N69" s="151">
        <f>2*Polars!$G$18*9.81/(R$38*$F$4*'Thrust vs Drag'!$A69^2*Polars!$G$13)</f>
        <v>0.17262734810571198</v>
      </c>
      <c r="O69" s="54">
        <f>Polars!$G$19+'Thrust vs Drag'!N69^2/(PI()*Polars!$G$24*Polars!$G$28)</f>
        <v>0.012532677140591851</v>
      </c>
      <c r="P69" s="53">
        <f>1.6/(1+(1+4*O69*Polars!$G$13/(PI()*Polars!$G$17^2))^0.5)</f>
        <v>0.780351547651544</v>
      </c>
      <c r="Q69" s="52">
        <f>Polars!$G$23*'Thrust vs Drag'!P69*(R$38-(1-R$38)/7.55)</f>
        <v>29.533910800960935</v>
      </c>
      <c r="R69" s="50">
        <f>0.5*R$38*$F$4*$A69^2*O69*Polars!$G$13</f>
        <v>605.3717993329197</v>
      </c>
      <c r="S69" s="152">
        <f t="shared" si="6"/>
        <v>47.21900034796774</v>
      </c>
      <c r="T69" s="151">
        <f>2*Polars!$G$18*9.81/(X$38*$F$4*'Thrust vs Drag'!$A69^2*Polars!$G$13)</f>
        <v>0.1840862388893672</v>
      </c>
      <c r="U69" s="54">
        <f>Polars!$G$19+'Thrust vs Drag'!T69^2/(PI()*Polars!$G$24*Polars!$G$28)</f>
        <v>0.012633174737177606</v>
      </c>
      <c r="V69" s="53">
        <f>1.6/(1+(1+4*U69*Polars!$G$13/(PI()*Polars!$G$17^2))^0.5)</f>
        <v>0.780201600601222</v>
      </c>
      <c r="W69" s="52">
        <f>Polars!$G$23*'Thrust vs Drag'!V69*(X$38-(1-X$38)/7.55)</f>
        <v>27.317093539820718</v>
      </c>
      <c r="X69" s="50">
        <f>0.5*X$38*$F$4*$A69^2*U69*Polars!$G$13</f>
        <v>572.2411853352282</v>
      </c>
      <c r="Y69" s="152">
        <f t="shared" si="7"/>
        <v>44.634812456147806</v>
      </c>
    </row>
    <row r="70" spans="1:25" ht="9" customHeight="1" thickBot="1">
      <c r="A70" s="170">
        <v>80</v>
      </c>
      <c r="B70" s="154">
        <f>2*Polars!$G$18*9.81/(F$38*$F$4*'Thrust vs Drag'!$A70^2*Polars!$G$13)</f>
        <v>0.14472012287127783</v>
      </c>
      <c r="C70" s="155">
        <f>Polars!$G$19+'Thrust vs Drag'!B70^2/(PI()*Polars!$G$24*Polars!$G$28)</f>
        <v>0.012314933668875623</v>
      </c>
      <c r="D70" s="156">
        <f>1.6/(1+(1+4*C70*Polars!$G$13/(PI()*Polars!$G$17^2))^0.5)</f>
        <v>0.7806768221018593</v>
      </c>
      <c r="E70" s="157">
        <f>Polars!$G$23*'Thrust vs Drag'!D70*(F$38-(1-F$38)/7.55)</f>
        <v>34.30689877244059</v>
      </c>
      <c r="F70" s="158">
        <f>0.5*F$38*$F$4*$A70^2*C70*Polars!$G$13</f>
        <v>709.5632062809669</v>
      </c>
      <c r="G70" s="171">
        <f t="shared" si="4"/>
        <v>56.76505650247735</v>
      </c>
      <c r="H70" s="154">
        <f>2*Polars!$G$18*9.81/(L$38*$F$4*'Thrust vs Drag'!$A70^2*Polars!$G$13)</f>
        <v>0.15403603956011716</v>
      </c>
      <c r="I70" s="155">
        <f>Polars!$G$19+'Thrust vs Drag'!H70^2/(PI()*Polars!$G$24*Polars!$G$28)</f>
        <v>0.012383361994309481</v>
      </c>
      <c r="J70" s="156">
        <f>1.6/(1+(1+4*I70*Polars!$G$13/(PI()*Polars!$G$17^2))^0.5)</f>
        <v>0.7805745432203499</v>
      </c>
      <c r="K70" s="157">
        <f>Polars!$G$23*'Thrust vs Drag'!J70*(L$38-(1-L$38)/7.55)</f>
        <v>31.865176285296663</v>
      </c>
      <c r="L70" s="158">
        <f>0.5*L$38*$F$4*$A70^2*I70*Polars!$G$13</f>
        <v>670.3539268110684</v>
      </c>
      <c r="M70" s="159">
        <f t="shared" si="5"/>
        <v>53.62831414488547</v>
      </c>
      <c r="N70" s="154">
        <f>2*Polars!$G$18*9.81/(R$38*$F$4*'Thrust vs Drag'!$A70^2*Polars!$G$13)</f>
        <v>0.16410387279299243</v>
      </c>
      <c r="O70" s="155">
        <f>Polars!$G$19+'Thrust vs Drag'!N70^2/(PI()*Polars!$G$24*Polars!$G$28)</f>
        <v>0.012462111459690606</v>
      </c>
      <c r="P70" s="156">
        <f>1.6/(1+(1+4*O70*Polars!$G$13/(PI()*Polars!$G$17^2))^0.5)</f>
        <v>0.7804569029933186</v>
      </c>
      <c r="Q70" s="157">
        <f>Polars!$G$23*'Thrust vs Drag'!P70*(R$38-(1-R$38)/7.55)</f>
        <v>29.537898177260423</v>
      </c>
      <c r="R70" s="158">
        <f>0.5*R$38*$F$4*$A70^2*O70*Polars!$G$13</f>
        <v>633.2289094585434</v>
      </c>
      <c r="S70" s="159">
        <f t="shared" si="6"/>
        <v>50.65831275668347</v>
      </c>
      <c r="T70" s="154">
        <f>2*Polars!$G$18*9.81/(X$38*$F$4*'Thrust vs Drag'!$A70^2*Polars!$G$13)</f>
        <v>0.1749969808442047</v>
      </c>
      <c r="U70" s="155">
        <f>Polars!$G$19+'Thrust vs Drag'!T70^2/(PI()*Polars!$G$24*Polars!$G$28)</f>
        <v>0.012552929920762068</v>
      </c>
      <c r="V70" s="156">
        <f>1.6/(1+(1+4*U70*Polars!$G$13/(PI()*Polars!$G$17^2))^0.5)</f>
        <v>0.780321320405908</v>
      </c>
      <c r="W70" s="157">
        <f>Polars!$G$23*'Thrust vs Drag'!V70*(X$38-(1-X$38)/7.55)</f>
        <v>27.321285273214567</v>
      </c>
      <c r="X70" s="158">
        <f>0.5*X$38*$F$4*$A70^2*U70*Polars!$G$13</f>
        <v>598.1394972605946</v>
      </c>
      <c r="Y70" s="159">
        <f t="shared" si="7"/>
        <v>47.85115978084757</v>
      </c>
    </row>
    <row r="71" spans="1:25" ht="9" customHeight="1">
      <c r="A71" s="172"/>
      <c r="B71" s="173"/>
      <c r="C71" s="173"/>
      <c r="D71" s="174"/>
      <c r="E71" s="60"/>
      <c r="F71" s="58"/>
      <c r="G71" s="60"/>
      <c r="H71" s="173"/>
      <c r="I71" s="173"/>
      <c r="J71" s="174"/>
      <c r="K71" s="60"/>
      <c r="L71" s="58"/>
      <c r="M71" s="60"/>
      <c r="N71" s="173"/>
      <c r="O71" s="173"/>
      <c r="P71" s="174"/>
      <c r="Q71" s="60"/>
      <c r="R71" s="58"/>
      <c r="S71" s="60"/>
      <c r="T71" s="173"/>
      <c r="U71" s="173"/>
      <c r="V71" s="174"/>
      <c r="W71" s="60"/>
      <c r="X71" s="58"/>
      <c r="Y71" s="60"/>
    </row>
    <row r="72" spans="1:25" ht="9" customHeight="1">
      <c r="A72" s="172"/>
      <c r="B72" s="173"/>
      <c r="C72" s="173"/>
      <c r="D72" s="174"/>
      <c r="E72" s="60"/>
      <c r="F72" s="58"/>
      <c r="G72" s="60"/>
      <c r="H72" s="173"/>
      <c r="I72" s="173"/>
      <c r="J72" s="174"/>
      <c r="K72" s="60"/>
      <c r="L72" s="58"/>
      <c r="M72" s="60"/>
      <c r="N72" s="173"/>
      <c r="O72" s="173"/>
      <c r="P72" s="174"/>
      <c r="Q72" s="60"/>
      <c r="R72" s="58"/>
      <c r="S72" s="60"/>
      <c r="T72" s="173"/>
      <c r="U72" s="173"/>
      <c r="V72" s="174"/>
      <c r="W72" s="60"/>
      <c r="X72" s="58"/>
      <c r="Y72" s="60"/>
    </row>
  </sheetData>
  <sheetProtection/>
  <mergeCells count="3">
    <mergeCell ref="A4:A5"/>
    <mergeCell ref="A38:A39"/>
    <mergeCell ref="A1:N1"/>
  </mergeCells>
  <printOptions/>
  <pageMargins left="0.787401575" right="0.787401575" top="0.984251969" bottom="0.984251969" header="0.4921259845" footer="0.4921259845"/>
  <pageSetup fitToHeight="1" fitToWidth="1"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2" sqref="A2"/>
    </sheetView>
  </sheetViews>
  <sheetFormatPr defaultColWidth="11.421875" defaultRowHeight="12.75"/>
  <cols>
    <col min="1" max="3" width="11.421875" style="3" customWidth="1"/>
    <col min="4" max="4" width="15.7109375" style="3" customWidth="1"/>
    <col min="5" max="7" width="11.421875" style="3" customWidth="1"/>
    <col min="8" max="8" width="9.140625" style="3" bestFit="1" customWidth="1"/>
    <col min="9" max="9" width="5.00390625" style="3" bestFit="1" customWidth="1"/>
    <col min="10" max="10" width="5.140625" style="3" bestFit="1" customWidth="1"/>
    <col min="11" max="16384" width="11.421875" style="3" customWidth="1"/>
  </cols>
  <sheetData>
    <row r="1" spans="1:6" ht="18">
      <c r="A1" s="359" t="s">
        <v>143</v>
      </c>
      <c r="B1" s="359"/>
      <c r="C1" s="359"/>
      <c r="D1" s="359"/>
      <c r="E1" s="359"/>
      <c r="F1" s="359"/>
    </row>
    <row r="3" spans="1:7" ht="12.75">
      <c r="A3" s="361" t="s">
        <v>298</v>
      </c>
      <c r="B3" s="361"/>
      <c r="C3" s="361"/>
      <c r="D3" s="361"/>
      <c r="E3" s="4" t="s">
        <v>0</v>
      </c>
      <c r="F3" s="4" t="s">
        <v>1</v>
      </c>
      <c r="G3" s="4" t="s">
        <v>2</v>
      </c>
    </row>
    <row r="4" spans="1:7" ht="12.75">
      <c r="A4" s="360" t="s">
        <v>3</v>
      </c>
      <c r="B4" s="360"/>
      <c r="C4" s="360"/>
      <c r="D4" s="360"/>
      <c r="E4" s="5" t="s">
        <v>4</v>
      </c>
      <c r="F4" s="5" t="s">
        <v>233</v>
      </c>
      <c r="G4" s="183">
        <f>Polars!$G$13</f>
        <v>18.7</v>
      </c>
    </row>
    <row r="5" spans="1:7" ht="12.75">
      <c r="A5" s="360" t="s">
        <v>5</v>
      </c>
      <c r="B5" s="360"/>
      <c r="C5" s="360"/>
      <c r="D5" s="360"/>
      <c r="E5" s="5" t="s">
        <v>6</v>
      </c>
      <c r="F5" s="5" t="s">
        <v>11</v>
      </c>
      <c r="G5" s="183">
        <f>Polars!$G$14</f>
        <v>17.47</v>
      </c>
    </row>
    <row r="6" spans="1:7" ht="12.75">
      <c r="A6" s="360" t="s">
        <v>145</v>
      </c>
      <c r="B6" s="360"/>
      <c r="C6" s="360"/>
      <c r="D6" s="360"/>
      <c r="E6" s="5" t="s">
        <v>12</v>
      </c>
      <c r="F6" s="5"/>
      <c r="G6" s="183">
        <f>Polars!$G$19</f>
        <v>0.0118</v>
      </c>
    </row>
    <row r="7" spans="1:7" ht="12.75">
      <c r="A7" s="366" t="s">
        <v>21</v>
      </c>
      <c r="B7" s="366"/>
      <c r="C7" s="366"/>
      <c r="D7" s="366"/>
      <c r="E7" s="10" t="s">
        <v>22</v>
      </c>
      <c r="F7" s="10"/>
      <c r="G7" s="184">
        <f>Polars!$G$24</f>
        <v>16.320903743315505</v>
      </c>
    </row>
    <row r="8" spans="1:7" ht="12.75">
      <c r="A8" s="360" t="s">
        <v>144</v>
      </c>
      <c r="B8" s="360"/>
      <c r="C8" s="360"/>
      <c r="D8" s="360"/>
      <c r="E8" s="5" t="s">
        <v>26</v>
      </c>
      <c r="F8" s="5"/>
      <c r="G8" s="185">
        <f>Polars!$G$28</f>
        <v>0.7932543822407278</v>
      </c>
    </row>
    <row r="10" spans="1:7" ht="12.75">
      <c r="A10" s="360" t="s">
        <v>147</v>
      </c>
      <c r="B10" s="360"/>
      <c r="C10" s="360"/>
      <c r="D10" s="360"/>
      <c r="E10" s="5" t="s">
        <v>11</v>
      </c>
      <c r="F10" s="5" t="s">
        <v>128</v>
      </c>
      <c r="G10" s="183">
        <f>Polars!$G$18</f>
        <v>850</v>
      </c>
    </row>
    <row r="11" spans="1:10" ht="12.75">
      <c r="A11" s="360" t="s">
        <v>64</v>
      </c>
      <c r="B11" s="360"/>
      <c r="C11" s="360"/>
      <c r="D11" s="360"/>
      <c r="E11" s="5" t="s">
        <v>65</v>
      </c>
      <c r="F11" s="5" t="s">
        <v>128</v>
      </c>
      <c r="G11" s="108">
        <f>Ranges!$G$23</f>
        <v>63.36</v>
      </c>
      <c r="H11" s="187" t="s">
        <v>148</v>
      </c>
      <c r="I11" s="188">
        <f>Ranges!G7</f>
        <v>0.72</v>
      </c>
      <c r="J11" s="188" t="s">
        <v>255</v>
      </c>
    </row>
    <row r="12" spans="1:7" ht="12.75">
      <c r="A12" s="360" t="s">
        <v>66</v>
      </c>
      <c r="B12" s="360"/>
      <c r="C12" s="360"/>
      <c r="D12" s="360"/>
      <c r="E12" s="5" t="s">
        <v>67</v>
      </c>
      <c r="F12" s="5" t="s">
        <v>128</v>
      </c>
      <c r="G12" s="186">
        <f>Polars!$G$18-Ranges!$G$23</f>
        <v>786.64</v>
      </c>
    </row>
    <row r="13" spans="1:8" ht="12.75">
      <c r="A13" s="377" t="s">
        <v>154</v>
      </c>
      <c r="B13" s="378"/>
      <c r="C13" s="378"/>
      <c r="D13" s="379"/>
      <c r="E13" s="5" t="s">
        <v>155</v>
      </c>
      <c r="F13" s="5" t="s">
        <v>128</v>
      </c>
      <c r="G13" s="196">
        <v>167</v>
      </c>
      <c r="H13" s="3">
        <v>620</v>
      </c>
    </row>
    <row r="14" spans="1:7" ht="12.75">
      <c r="A14" s="360" t="s">
        <v>149</v>
      </c>
      <c r="B14" s="360"/>
      <c r="C14" s="360"/>
      <c r="D14" s="360"/>
      <c r="E14" s="10" t="s">
        <v>161</v>
      </c>
      <c r="F14" s="5" t="s">
        <v>128</v>
      </c>
      <c r="G14" s="24">
        <v>57</v>
      </c>
    </row>
    <row r="15" spans="1:7" ht="12.75">
      <c r="A15" s="377" t="s">
        <v>151</v>
      </c>
      <c r="B15" s="378"/>
      <c r="C15" s="378"/>
      <c r="D15" s="379"/>
      <c r="E15" s="10" t="s">
        <v>152</v>
      </c>
      <c r="F15" s="5" t="s">
        <v>128</v>
      </c>
      <c r="G15" s="24">
        <v>10</v>
      </c>
    </row>
    <row r="16" spans="1:7" ht="12.75">
      <c r="A16" s="360" t="s">
        <v>156</v>
      </c>
      <c r="B16" s="360"/>
      <c r="C16" s="360"/>
      <c r="D16" s="360"/>
      <c r="E16" s="10" t="s">
        <v>150</v>
      </c>
      <c r="F16" s="5" t="s">
        <v>128</v>
      </c>
      <c r="G16" s="25">
        <f>G12-G13-G14-G15</f>
        <v>552.64</v>
      </c>
    </row>
    <row r="20" spans="1:4" ht="18">
      <c r="A20" s="359" t="s">
        <v>153</v>
      </c>
      <c r="B20" s="359"/>
      <c r="C20" s="359"/>
      <c r="D20" s="359"/>
    </row>
    <row r="22" spans="1:7" ht="12.75">
      <c r="A22" s="361" t="s">
        <v>298</v>
      </c>
      <c r="B22" s="361"/>
      <c r="C22" s="361"/>
      <c r="D22" s="361"/>
      <c r="E22" s="4" t="s">
        <v>0</v>
      </c>
      <c r="F22" s="4" t="s">
        <v>1</v>
      </c>
      <c r="G22" s="4" t="s">
        <v>2</v>
      </c>
    </row>
    <row r="23" spans="1:7" ht="12.75">
      <c r="A23" s="360" t="s">
        <v>156</v>
      </c>
      <c r="B23" s="360"/>
      <c r="C23" s="360"/>
      <c r="D23" s="360"/>
      <c r="E23" s="10" t="s">
        <v>150</v>
      </c>
      <c r="F23" s="10" t="s">
        <v>128</v>
      </c>
      <c r="G23" s="186">
        <f>G16</f>
        <v>552.64</v>
      </c>
    </row>
    <row r="24" spans="1:7" ht="25.5" customHeight="1">
      <c r="A24" s="401" t="s">
        <v>157</v>
      </c>
      <c r="B24" s="360"/>
      <c r="C24" s="360"/>
      <c r="D24" s="360"/>
      <c r="E24" s="5" t="s">
        <v>162</v>
      </c>
      <c r="F24" s="5"/>
      <c r="G24" s="195"/>
    </row>
    <row r="25" spans="1:7" ht="25.5" customHeight="1">
      <c r="A25" s="453"/>
      <c r="B25" s="454"/>
      <c r="C25" s="454"/>
      <c r="D25" s="455"/>
      <c r="E25" s="5"/>
      <c r="F25" s="5"/>
      <c r="G25" s="195"/>
    </row>
    <row r="26" spans="1:7" ht="25.5" customHeight="1">
      <c r="A26" s="401" t="s">
        <v>158</v>
      </c>
      <c r="B26" s="360"/>
      <c r="C26" s="360"/>
      <c r="D26" s="360"/>
      <c r="E26" s="5" t="s">
        <v>160</v>
      </c>
      <c r="F26" s="5"/>
      <c r="G26" s="195"/>
    </row>
    <row r="27" spans="1:7" ht="25.5" customHeight="1">
      <c r="A27" s="401" t="s">
        <v>159</v>
      </c>
      <c r="B27" s="360"/>
      <c r="C27" s="360"/>
      <c r="D27" s="360"/>
      <c r="E27" s="5" t="s">
        <v>163</v>
      </c>
      <c r="F27" s="5"/>
      <c r="G27" s="195"/>
    </row>
    <row r="28" spans="1:7" ht="12.75">
      <c r="A28" s="360"/>
      <c r="B28" s="360"/>
      <c r="C28" s="360"/>
      <c r="D28" s="360"/>
      <c r="E28" s="5"/>
      <c r="F28" s="5"/>
      <c r="G28" s="195"/>
    </row>
    <row r="29" spans="1:7" ht="12.75">
      <c r="A29" s="360"/>
      <c r="B29" s="360"/>
      <c r="C29" s="360"/>
      <c r="D29" s="360"/>
      <c r="E29" s="5"/>
      <c r="F29" s="5"/>
      <c r="G29" s="195"/>
    </row>
    <row r="30" spans="1:7" ht="12.75">
      <c r="A30" s="360"/>
      <c r="B30" s="360"/>
      <c r="C30" s="360"/>
      <c r="D30" s="360"/>
      <c r="E30" s="5"/>
      <c r="F30" s="5"/>
      <c r="G30" s="195"/>
    </row>
    <row r="31" spans="1:7" ht="12.75">
      <c r="A31" s="360"/>
      <c r="B31" s="360"/>
      <c r="C31" s="360"/>
      <c r="D31" s="360"/>
      <c r="E31" s="5"/>
      <c r="F31" s="5"/>
      <c r="G31" s="195"/>
    </row>
  </sheetData>
  <sheetProtection/>
  <mergeCells count="25">
    <mergeCell ref="A24:D24"/>
    <mergeCell ref="A30:D30"/>
    <mergeCell ref="A31:D31"/>
    <mergeCell ref="A25:D25"/>
    <mergeCell ref="A26:D26"/>
    <mergeCell ref="A27:D27"/>
    <mergeCell ref="A28:D28"/>
    <mergeCell ref="A29:D29"/>
    <mergeCell ref="A11:D11"/>
    <mergeCell ref="A12:D12"/>
    <mergeCell ref="A14:D14"/>
    <mergeCell ref="A20:D20"/>
    <mergeCell ref="A22:D22"/>
    <mergeCell ref="A23:D23"/>
    <mergeCell ref="A13:D13"/>
    <mergeCell ref="A1:F1"/>
    <mergeCell ref="A3:D3"/>
    <mergeCell ref="A4:D4"/>
    <mergeCell ref="A16:D16"/>
    <mergeCell ref="A15:D15"/>
    <mergeCell ref="A5:D5"/>
    <mergeCell ref="A10:D10"/>
    <mergeCell ref="A6:D6"/>
    <mergeCell ref="A7:D7"/>
    <mergeCell ref="A8:D8"/>
  </mergeCells>
  <printOptions/>
  <pageMargins left="0.787401575" right="0.787401575" top="0.984251969" bottom="0.984251969" header="0.4921259845" footer="0.4921259845"/>
  <pageSetup fitToHeight="1" fitToWidth="1" orientation="portrait" paperSize="9" scale="50" r:id="rId2"/>
  <drawing r:id="rId1"/>
</worksheet>
</file>

<file path=xl/worksheets/sheet7.xml><?xml version="1.0" encoding="utf-8"?>
<worksheet xmlns="http://schemas.openxmlformats.org/spreadsheetml/2006/main" xmlns:r="http://schemas.openxmlformats.org/officeDocument/2006/relationships">
  <dimension ref="A1:O97"/>
  <sheetViews>
    <sheetView zoomScalePageLayoutView="0" workbookViewId="0" topLeftCell="A1">
      <selection activeCell="A2" sqref="A2"/>
    </sheetView>
  </sheetViews>
  <sheetFormatPr defaultColWidth="11.421875" defaultRowHeight="12.75"/>
  <cols>
    <col min="1" max="1" width="11.8515625" style="3" customWidth="1"/>
    <col min="2" max="2" width="12.00390625" style="3" customWidth="1"/>
    <col min="3" max="3" width="11.57421875" style="3" customWidth="1"/>
    <col min="4" max="4" width="11.421875" style="3" customWidth="1"/>
    <col min="5" max="6" width="12.140625" style="3" customWidth="1"/>
    <col min="7" max="8" width="11.421875" style="3" customWidth="1"/>
    <col min="9" max="9" width="12.140625" style="3" customWidth="1"/>
    <col min="10" max="11" width="11.7109375" style="3" customWidth="1"/>
    <col min="12" max="12" width="5.421875" style="3" customWidth="1"/>
    <col min="13" max="13" width="7.28125" style="3" customWidth="1"/>
    <col min="14" max="14" width="6.8515625" style="3" customWidth="1"/>
    <col min="15" max="15" width="7.8515625" style="3" customWidth="1"/>
    <col min="16" max="16" width="7.7109375" style="3" customWidth="1"/>
    <col min="17" max="17" width="7.8515625" style="3" bestFit="1" customWidth="1"/>
    <col min="18" max="16384" width="11.421875" style="3" customWidth="1"/>
  </cols>
  <sheetData>
    <row r="1" spans="1:5" ht="18">
      <c r="A1" s="456" t="s">
        <v>269</v>
      </c>
      <c r="B1" s="456"/>
      <c r="C1" s="456"/>
      <c r="D1" s="456"/>
      <c r="E1" s="456"/>
    </row>
    <row r="2" spans="1:8" ht="12.75">
      <c r="A2" s="199"/>
      <c r="B2" s="199"/>
      <c r="C2" s="199"/>
      <c r="D2" s="199"/>
      <c r="E2" s="199"/>
      <c r="F2" s="199"/>
      <c r="G2" s="199"/>
      <c r="H2" s="199"/>
    </row>
    <row r="3" spans="1:8" ht="12.75">
      <c r="A3" s="361" t="s">
        <v>298</v>
      </c>
      <c r="B3" s="361"/>
      <c r="C3" s="361"/>
      <c r="D3" s="361"/>
      <c r="E3" s="4" t="s">
        <v>0</v>
      </c>
      <c r="F3" s="4" t="s">
        <v>1</v>
      </c>
      <c r="G3" s="4" t="s">
        <v>2</v>
      </c>
      <c r="H3" s="31"/>
    </row>
    <row r="4" spans="1:7" ht="12.75">
      <c r="A4" s="360" t="s">
        <v>172</v>
      </c>
      <c r="B4" s="360"/>
      <c r="C4" s="360"/>
      <c r="D4" s="360"/>
      <c r="E4" s="5" t="s">
        <v>308</v>
      </c>
      <c r="F4" s="5" t="s">
        <v>124</v>
      </c>
      <c r="G4" s="200">
        <v>25</v>
      </c>
    </row>
    <row r="5" spans="1:7" ht="12.75">
      <c r="A5" s="14"/>
      <c r="B5" s="14"/>
      <c r="C5" s="14"/>
      <c r="D5" s="14"/>
      <c r="E5" s="28"/>
      <c r="F5" s="28"/>
      <c r="G5" s="85"/>
    </row>
    <row r="6" spans="1:8" ht="12.75" customHeight="1">
      <c r="A6" s="401" t="s">
        <v>174</v>
      </c>
      <c r="B6" s="401"/>
      <c r="C6" s="401"/>
      <c r="D6" s="401"/>
      <c r="E6" s="461" t="s">
        <v>170</v>
      </c>
      <c r="F6" s="461"/>
      <c r="G6" s="201">
        <v>2.449</v>
      </c>
      <c r="H6" s="32"/>
    </row>
    <row r="7" spans="1:8" ht="12.75">
      <c r="A7" s="401"/>
      <c r="B7" s="401"/>
      <c r="C7" s="401"/>
      <c r="D7" s="401"/>
      <c r="E7" s="461" t="s">
        <v>171</v>
      </c>
      <c r="F7" s="461"/>
      <c r="G7" s="201">
        <v>0.5926</v>
      </c>
      <c r="H7" s="32"/>
    </row>
    <row r="8" spans="1:7" ht="12.75">
      <c r="A8" s="377" t="s">
        <v>173</v>
      </c>
      <c r="B8" s="378"/>
      <c r="C8" s="378"/>
      <c r="D8" s="379"/>
      <c r="E8" s="5" t="s">
        <v>160</v>
      </c>
      <c r="F8" s="5" t="s">
        <v>128</v>
      </c>
      <c r="G8" s="27">
        <f>G6*G4^G7</f>
        <v>16.497116231559474</v>
      </c>
    </row>
    <row r="9" spans="1:9" ht="24.75" customHeight="1">
      <c r="A9" s="453" t="s">
        <v>175</v>
      </c>
      <c r="B9" s="454"/>
      <c r="C9" s="454"/>
      <c r="D9" s="455"/>
      <c r="E9" s="5" t="s">
        <v>163</v>
      </c>
      <c r="F9" s="5" t="s">
        <v>128</v>
      </c>
      <c r="G9" s="27">
        <f>3.5+0.22*G8</f>
        <v>7.129365570943085</v>
      </c>
      <c r="H9" s="12"/>
      <c r="I9" s="14"/>
    </row>
    <row r="10" spans="1:9" ht="13.5" customHeight="1">
      <c r="A10" s="453" t="s">
        <v>218</v>
      </c>
      <c r="B10" s="454"/>
      <c r="C10" s="454"/>
      <c r="D10" s="455"/>
      <c r="E10" s="5" t="s">
        <v>219</v>
      </c>
      <c r="F10" s="5" t="s">
        <v>128</v>
      </c>
      <c r="G10" s="27">
        <f>G8+G9</f>
        <v>23.62648180250256</v>
      </c>
      <c r="H10" s="14"/>
      <c r="I10" s="14"/>
    </row>
    <row r="11" spans="1:4" ht="12.75" customHeight="1">
      <c r="A11" s="14"/>
      <c r="B11" s="14"/>
      <c r="C11" s="14"/>
      <c r="D11" s="14"/>
    </row>
    <row r="12" ht="12.75" customHeight="1"/>
    <row r="13" ht="12.75" customHeight="1"/>
    <row r="14" ht="12.75" customHeight="1">
      <c r="F14" s="14"/>
    </row>
    <row r="15" ht="12.75" customHeight="1">
      <c r="F15" s="14"/>
    </row>
    <row r="16" ht="12.75" customHeight="1">
      <c r="F16" s="14"/>
    </row>
    <row r="17" ht="12.75" customHeight="1">
      <c r="F17" s="14"/>
    </row>
    <row r="18" ht="12.75" customHeight="1">
      <c r="F18" s="14"/>
    </row>
    <row r="19" ht="12.75" customHeight="1">
      <c r="F19" s="14"/>
    </row>
    <row r="20" ht="12.75" customHeight="1">
      <c r="F20" s="14"/>
    </row>
    <row r="21" ht="12.75" customHeight="1">
      <c r="F21" s="14"/>
    </row>
    <row r="22" ht="12.75" customHeight="1">
      <c r="F22" s="14"/>
    </row>
    <row r="23" ht="12.75" customHeight="1">
      <c r="F23" s="32"/>
    </row>
    <row r="27" spans="5:6" ht="12.75">
      <c r="E27" s="32"/>
      <c r="F27" s="32"/>
    </row>
    <row r="28" spans="5:6" ht="12.75">
      <c r="E28" s="32"/>
      <c r="F28" s="32"/>
    </row>
    <row r="29" spans="5:6" ht="12.75">
      <c r="E29" s="32"/>
      <c r="F29" s="32"/>
    </row>
    <row r="70" spans="1:9" ht="12.75">
      <c r="A70" s="198"/>
      <c r="B70" s="198"/>
      <c r="C70" s="198"/>
      <c r="D70" s="198"/>
      <c r="E70" s="198"/>
      <c r="F70" s="198"/>
      <c r="G70" s="198"/>
      <c r="H70" s="198"/>
      <c r="I70" s="198"/>
    </row>
    <row r="71" spans="1:9" ht="12.75">
      <c r="A71" s="198"/>
      <c r="B71" s="198"/>
      <c r="C71" s="198"/>
      <c r="D71" s="198"/>
      <c r="E71" s="198"/>
      <c r="F71" s="198"/>
      <c r="G71" s="198"/>
      <c r="H71" s="198"/>
      <c r="I71" s="198"/>
    </row>
    <row r="78" spans="10:15" ht="49.5">
      <c r="J78" s="215" t="s">
        <v>309</v>
      </c>
      <c r="K78" s="218" t="s">
        <v>310</v>
      </c>
      <c r="L78" s="49" t="s">
        <v>311</v>
      </c>
      <c r="M78" s="216" t="s">
        <v>312</v>
      </c>
      <c r="N78" s="216" t="s">
        <v>313</v>
      </c>
      <c r="O78" s="217" t="s">
        <v>314</v>
      </c>
    </row>
    <row r="79" spans="10:15" ht="12.75">
      <c r="J79" s="457" t="s">
        <v>165</v>
      </c>
      <c r="K79" s="458"/>
      <c r="L79" s="222">
        <v>2</v>
      </c>
      <c r="M79" s="214">
        <f>2.449*L79^0.5926</f>
        <v>3.692998749179</v>
      </c>
      <c r="N79" s="214">
        <f aca="true" t="shared" si="0" ref="N79:N95">1.859*L79^0.5926</f>
        <v>2.803301214668747</v>
      </c>
      <c r="O79" s="219">
        <f aca="true" t="shared" si="1" ref="O79:O95">3.111*L79^0.5926</f>
        <v>4.691269542137962</v>
      </c>
    </row>
    <row r="80" spans="10:15" ht="12.75">
      <c r="J80" s="203">
        <v>1.35</v>
      </c>
      <c r="K80" s="204">
        <v>4</v>
      </c>
      <c r="L80" s="222">
        <v>5</v>
      </c>
      <c r="M80" s="214">
        <f aca="true" t="shared" si="2" ref="M80:M95">2.449*L80^0.5926</f>
        <v>6.35621252406566</v>
      </c>
      <c r="N80" s="214">
        <f t="shared" si="0"/>
        <v>4.82490775101595</v>
      </c>
      <c r="O80" s="219">
        <f t="shared" si="1"/>
        <v>8.074388388063811</v>
      </c>
    </row>
    <row r="81" spans="10:15" ht="12.75">
      <c r="J81" s="203">
        <v>1.8</v>
      </c>
      <c r="K81" s="204">
        <v>6</v>
      </c>
      <c r="L81" s="222">
        <v>10</v>
      </c>
      <c r="M81" s="214">
        <f t="shared" si="2"/>
        <v>9.584926460143071</v>
      </c>
      <c r="N81" s="214">
        <f t="shared" si="0"/>
        <v>7.275777170031021</v>
      </c>
      <c r="O81" s="219">
        <f t="shared" si="1"/>
        <v>12.175870239895916</v>
      </c>
    </row>
    <row r="82" spans="10:15" ht="12.75">
      <c r="J82" s="203">
        <v>2.28</v>
      </c>
      <c r="K82" s="204">
        <v>6</v>
      </c>
      <c r="L82" s="222">
        <v>15</v>
      </c>
      <c r="M82" s="214">
        <f t="shared" si="2"/>
        <v>12.188225065926593</v>
      </c>
      <c r="N82" s="214">
        <f t="shared" si="0"/>
        <v>9.251902979811163</v>
      </c>
      <c r="O82" s="219">
        <f t="shared" si="1"/>
        <v>15.482877982890011</v>
      </c>
    </row>
    <row r="83" spans="10:15" ht="12.75">
      <c r="J83" s="203">
        <v>4.2</v>
      </c>
      <c r="K83" s="204">
        <v>9</v>
      </c>
      <c r="L83" s="222">
        <v>20</v>
      </c>
      <c r="M83" s="214">
        <f t="shared" si="2"/>
        <v>14.4537041356803</v>
      </c>
      <c r="N83" s="214">
        <f t="shared" si="0"/>
        <v>10.971594931902686</v>
      </c>
      <c r="O83" s="219">
        <f t="shared" si="1"/>
        <v>18.360748699918915</v>
      </c>
    </row>
    <row r="84" spans="10:15" ht="12.75">
      <c r="J84" s="203">
        <v>4.2</v>
      </c>
      <c r="K84" s="204">
        <v>8.5</v>
      </c>
      <c r="L84" s="222">
        <v>25</v>
      </c>
      <c r="M84" s="214">
        <f t="shared" si="2"/>
        <v>16.497116231559474</v>
      </c>
      <c r="N84" s="214">
        <f t="shared" si="0"/>
        <v>12.522719099415704</v>
      </c>
      <c r="O84" s="219">
        <f t="shared" si="1"/>
        <v>20.956524539151296</v>
      </c>
    </row>
    <row r="85" spans="10:15" ht="12.75">
      <c r="J85" s="203">
        <v>8.5</v>
      </c>
      <c r="K85" s="204">
        <v>13</v>
      </c>
      <c r="L85" s="222">
        <v>30</v>
      </c>
      <c r="M85" s="214">
        <f t="shared" si="2"/>
        <v>18.37937930713722</v>
      </c>
      <c r="N85" s="214">
        <f t="shared" si="0"/>
        <v>13.951517407908574</v>
      </c>
      <c r="O85" s="219">
        <f t="shared" si="1"/>
        <v>23.3475904550853</v>
      </c>
    </row>
    <row r="86" spans="10:15" ht="12.75">
      <c r="J86" s="203">
        <v>7.2</v>
      </c>
      <c r="K86" s="204">
        <v>12</v>
      </c>
      <c r="L86" s="222">
        <v>35</v>
      </c>
      <c r="M86" s="214">
        <f t="shared" si="2"/>
        <v>20.137405166806605</v>
      </c>
      <c r="N86" s="214">
        <f t="shared" si="0"/>
        <v>15.28600906700428</v>
      </c>
      <c r="O86" s="219">
        <f t="shared" si="1"/>
        <v>25.580836044889896</v>
      </c>
    </row>
    <row r="87" spans="10:15" ht="12.75">
      <c r="J87" s="205">
        <v>14.4</v>
      </c>
      <c r="K87" s="206">
        <v>18</v>
      </c>
      <c r="L87" s="222">
        <v>40</v>
      </c>
      <c r="M87" s="214">
        <f t="shared" si="2"/>
        <v>21.795635481449857</v>
      </c>
      <c r="N87" s="214">
        <f t="shared" si="0"/>
        <v>16.544747390777985</v>
      </c>
      <c r="O87" s="219">
        <f t="shared" si="1"/>
        <v>27.687309915390166</v>
      </c>
    </row>
    <row r="88" spans="10:15" ht="12.75">
      <c r="J88" s="462" t="s">
        <v>166</v>
      </c>
      <c r="K88" s="463"/>
      <c r="L88" s="222">
        <v>45</v>
      </c>
      <c r="M88" s="214">
        <f t="shared" si="2"/>
        <v>23.371281198549603</v>
      </c>
      <c r="N88" s="214">
        <f t="shared" si="0"/>
        <v>17.740796957167706</v>
      </c>
      <c r="O88" s="219">
        <f t="shared" si="1"/>
        <v>29.688875381252686</v>
      </c>
    </row>
    <row r="89" spans="10:15" ht="12.75">
      <c r="J89" s="205">
        <v>42</v>
      </c>
      <c r="K89" s="206">
        <v>28.5</v>
      </c>
      <c r="L89" s="222">
        <v>50</v>
      </c>
      <c r="M89" s="214">
        <f t="shared" si="2"/>
        <v>24.877023114826343</v>
      </c>
      <c r="N89" s="214">
        <f t="shared" si="0"/>
        <v>18.88378357307561</v>
      </c>
      <c r="O89" s="219">
        <f t="shared" si="1"/>
        <v>31.6016410413331</v>
      </c>
    </row>
    <row r="90" spans="10:15" ht="12.75">
      <c r="J90" s="462" t="s">
        <v>167</v>
      </c>
      <c r="K90" s="463"/>
      <c r="L90" s="222">
        <v>55</v>
      </c>
      <c r="M90" s="214">
        <f t="shared" si="2"/>
        <v>26.322535187678703</v>
      </c>
      <c r="N90" s="214">
        <f t="shared" si="0"/>
        <v>19.981050597752027</v>
      </c>
      <c r="O90" s="219">
        <f t="shared" si="1"/>
        <v>33.43789586315576</v>
      </c>
    </row>
    <row r="91" spans="10:15" ht="12.75">
      <c r="J91" s="205">
        <v>14</v>
      </c>
      <c r="K91" s="220">
        <v>11.7</v>
      </c>
      <c r="L91" s="222">
        <v>60</v>
      </c>
      <c r="M91" s="214">
        <f t="shared" si="2"/>
        <v>27.71540416167584</v>
      </c>
      <c r="N91" s="214">
        <f t="shared" si="0"/>
        <v>21.038357017784968</v>
      </c>
      <c r="O91" s="219">
        <f t="shared" si="1"/>
        <v>35.20727739770255</v>
      </c>
    </row>
    <row r="92" spans="10:15" ht="12.75">
      <c r="J92" s="462" t="s">
        <v>168</v>
      </c>
      <c r="K92" s="463"/>
      <c r="L92" s="222">
        <v>65</v>
      </c>
      <c r="M92" s="214">
        <f t="shared" si="2"/>
        <v>29.06171505463879</v>
      </c>
      <c r="N92" s="214">
        <f t="shared" si="0"/>
        <v>22.06032188100184</v>
      </c>
      <c r="O92" s="219">
        <f t="shared" si="1"/>
        <v>36.91751553082127</v>
      </c>
    </row>
    <row r="93" spans="10:15" ht="12.75">
      <c r="J93" s="205">
        <v>13</v>
      </c>
      <c r="K93" s="206">
        <v>8.5</v>
      </c>
      <c r="L93" s="222">
        <v>70</v>
      </c>
      <c r="M93" s="214">
        <f t="shared" si="2"/>
        <v>30.366440217528602</v>
      </c>
      <c r="N93" s="214">
        <f t="shared" si="0"/>
        <v>23.050719626127265</v>
      </c>
      <c r="O93" s="219">
        <f t="shared" si="1"/>
        <v>38.57492671160943</v>
      </c>
    </row>
    <row r="94" spans="10:15" ht="12.75">
      <c r="J94" s="459" t="s">
        <v>169</v>
      </c>
      <c r="K94" s="460"/>
      <c r="L94" s="222">
        <v>75</v>
      </c>
      <c r="M94" s="214">
        <f t="shared" si="2"/>
        <v>31.63370714992798</v>
      </c>
      <c r="N94" s="214">
        <f t="shared" si="0"/>
        <v>24.01268337758927</v>
      </c>
      <c r="O94" s="219">
        <f t="shared" si="1"/>
        <v>40.18475416228091</v>
      </c>
    </row>
    <row r="95" spans="10:15" ht="12.75">
      <c r="J95" s="205">
        <v>75</v>
      </c>
      <c r="K95" s="206">
        <v>26</v>
      </c>
      <c r="L95" s="15">
        <v>80</v>
      </c>
      <c r="M95" s="221">
        <f t="shared" si="2"/>
        <v>32.86698839140699</v>
      </c>
      <c r="N95" s="221">
        <f t="shared" si="0"/>
        <v>24.948849089271373</v>
      </c>
      <c r="O95" s="220">
        <f t="shared" si="1"/>
        <v>41.75140909990492</v>
      </c>
    </row>
    <row r="96" spans="10:14" ht="12.75">
      <c r="J96" s="18">
        <v>13</v>
      </c>
      <c r="K96" s="18">
        <v>8.5</v>
      </c>
      <c r="M96" s="202">
        <f>G4</f>
        <v>25</v>
      </c>
      <c r="N96" s="18">
        <v>2</v>
      </c>
    </row>
    <row r="97" spans="10:14" ht="12.75">
      <c r="J97" s="18">
        <v>75</v>
      </c>
      <c r="K97" s="18">
        <v>26</v>
      </c>
      <c r="M97" s="202">
        <f>G4</f>
        <v>25</v>
      </c>
      <c r="N97" s="18">
        <v>43</v>
      </c>
    </row>
  </sheetData>
  <sheetProtection/>
  <mergeCells count="14">
    <mergeCell ref="J94:K94"/>
    <mergeCell ref="E7:F7"/>
    <mergeCell ref="E6:F6"/>
    <mergeCell ref="A6:D7"/>
    <mergeCell ref="A8:D8"/>
    <mergeCell ref="J88:K88"/>
    <mergeCell ref="J90:K90"/>
    <mergeCell ref="J92:K92"/>
    <mergeCell ref="A1:E1"/>
    <mergeCell ref="A3:D3"/>
    <mergeCell ref="A4:D4"/>
    <mergeCell ref="J79:K79"/>
    <mergeCell ref="A9:D9"/>
    <mergeCell ref="A10:D10"/>
  </mergeCells>
  <printOptions/>
  <pageMargins left="0.787401575" right="0.787401575" top="0.984251969" bottom="0.984251969" header="0.4921259845" footer="0.4921259845"/>
  <pageSetup orientation="portrait" paperSize="9" scale="55" r:id="rId4"/>
  <drawing r:id="rId3"/>
  <legacyDrawing r:id="rId2"/>
  <oleObjects>
    <oleObject progId="Equation.DSMT4" shapeId="221947" r:id="rId1"/>
  </oleObjects>
</worksheet>
</file>

<file path=xl/worksheets/sheet8.xml><?xml version="1.0" encoding="utf-8"?>
<worksheet xmlns="http://schemas.openxmlformats.org/spreadsheetml/2006/main" xmlns:r="http://schemas.openxmlformats.org/officeDocument/2006/relationships">
  <dimension ref="A1:O72"/>
  <sheetViews>
    <sheetView zoomScalePageLayoutView="0" workbookViewId="0" topLeftCell="A1">
      <selection activeCell="A2" sqref="A2"/>
    </sheetView>
  </sheetViews>
  <sheetFormatPr defaultColWidth="11.421875" defaultRowHeight="12.75"/>
  <cols>
    <col min="1" max="16384" width="11.421875" style="197" customWidth="1"/>
  </cols>
  <sheetData>
    <row r="1" spans="1:7" ht="18">
      <c r="A1" s="466" t="s">
        <v>270</v>
      </c>
      <c r="B1" s="466"/>
      <c r="C1" s="466"/>
      <c r="D1" s="466"/>
      <c r="E1" s="466"/>
      <c r="F1" s="466"/>
      <c r="G1" s="466"/>
    </row>
    <row r="2" spans="8:15" ht="12.75">
      <c r="H2" s="28"/>
      <c r="O2" s="28"/>
    </row>
    <row r="3" spans="1:15" ht="12.75">
      <c r="A3" s="361" t="s">
        <v>298</v>
      </c>
      <c r="B3" s="361"/>
      <c r="C3" s="361"/>
      <c r="D3" s="361"/>
      <c r="E3" s="4" t="s">
        <v>0</v>
      </c>
      <c r="F3" s="4" t="s">
        <v>1</v>
      </c>
      <c r="G3" s="4" t="s">
        <v>2</v>
      </c>
      <c r="H3" s="28"/>
      <c r="O3" s="28"/>
    </row>
    <row r="4" spans="1:15" ht="12.75">
      <c r="A4" s="360" t="s">
        <v>209</v>
      </c>
      <c r="B4" s="360"/>
      <c r="C4" s="360"/>
      <c r="D4" s="360"/>
      <c r="E4" s="5" t="s">
        <v>315</v>
      </c>
      <c r="F4" s="5" t="s">
        <v>124</v>
      </c>
      <c r="G4" s="200">
        <v>60</v>
      </c>
      <c r="H4" s="28"/>
      <c r="O4" s="28"/>
    </row>
    <row r="5" spans="1:15" ht="12.75">
      <c r="A5" s="370" t="s">
        <v>174</v>
      </c>
      <c r="B5" s="467"/>
      <c r="C5" s="467"/>
      <c r="D5" s="468"/>
      <c r="E5" s="472" t="s">
        <v>170</v>
      </c>
      <c r="F5" s="473"/>
      <c r="G5" s="201">
        <v>0.5015</v>
      </c>
      <c r="H5" s="28"/>
      <c r="O5" s="28"/>
    </row>
    <row r="6" spans="1:15" ht="12.75">
      <c r="A6" s="469"/>
      <c r="B6" s="470"/>
      <c r="C6" s="470"/>
      <c r="D6" s="471"/>
      <c r="E6" s="472" t="s">
        <v>232</v>
      </c>
      <c r="F6" s="473"/>
      <c r="G6" s="201">
        <v>25.457</v>
      </c>
      <c r="H6" s="28"/>
      <c r="O6" s="28"/>
    </row>
    <row r="7" spans="1:15" ht="12.75">
      <c r="A7" s="377" t="s">
        <v>173</v>
      </c>
      <c r="B7" s="378"/>
      <c r="C7" s="378"/>
      <c r="D7" s="379"/>
      <c r="E7" s="5" t="s">
        <v>211</v>
      </c>
      <c r="F7" s="5" t="s">
        <v>128</v>
      </c>
      <c r="G7" s="27">
        <f>G5*G4+G6</f>
        <v>55.547</v>
      </c>
      <c r="H7" s="28"/>
      <c r="O7" s="28"/>
    </row>
    <row r="8" spans="8:15" ht="12.75">
      <c r="H8" s="28"/>
      <c r="O8" s="28"/>
    </row>
    <row r="9" spans="8:15" ht="12.75">
      <c r="H9" s="28"/>
      <c r="O9" s="28"/>
    </row>
    <row r="10" spans="8:15" ht="12.75">
      <c r="H10" s="28"/>
      <c r="O10" s="28"/>
    </row>
    <row r="11" spans="8:15" ht="12.75">
      <c r="H11" s="28"/>
      <c r="O11" s="28"/>
    </row>
    <row r="12" spans="8:15" ht="12.75">
      <c r="H12" s="28"/>
      <c r="O12" s="28"/>
    </row>
    <row r="13" spans="8:15" ht="12.75">
      <c r="H13" s="28"/>
      <c r="O13" s="28"/>
    </row>
    <row r="14" spans="8:15" ht="12.75">
      <c r="H14" s="28"/>
      <c r="O14" s="28"/>
    </row>
    <row r="15" spans="8:15" ht="12.75">
      <c r="H15" s="28"/>
      <c r="O15" s="28"/>
    </row>
    <row r="16" spans="8:15" ht="12.75">
      <c r="H16" s="28"/>
      <c r="O16" s="28"/>
    </row>
    <row r="17" spans="7:15" ht="12.75">
      <c r="G17" s="28"/>
      <c r="H17" s="28"/>
      <c r="O17" s="28"/>
    </row>
    <row r="18" spans="7:15" ht="12.75">
      <c r="G18" s="28"/>
      <c r="H18" s="28"/>
      <c r="O18" s="28"/>
    </row>
    <row r="19" spans="8:15" ht="12.75">
      <c r="H19" s="28"/>
      <c r="O19" s="28"/>
    </row>
    <row r="20" spans="8:15" ht="12.75">
      <c r="H20" s="28"/>
      <c r="O20" s="28"/>
    </row>
    <row r="21" ht="12.75">
      <c r="O21" s="28"/>
    </row>
    <row r="22" ht="12.75">
      <c r="O22" s="28"/>
    </row>
    <row r="23" ht="12.75">
      <c r="O23" s="28"/>
    </row>
    <row r="24" ht="12.75">
      <c r="O24" s="28"/>
    </row>
    <row r="25" spans="11:15" ht="12.75">
      <c r="K25" s="28"/>
      <c r="L25" s="28"/>
      <c r="O25" s="28"/>
    </row>
    <row r="26" spans="11:15" ht="12.75">
      <c r="K26" s="28"/>
      <c r="L26" s="28"/>
      <c r="M26" s="28"/>
      <c r="N26" s="28"/>
      <c r="O26" s="28"/>
    </row>
    <row r="27" spans="9:15" ht="12.75">
      <c r="I27" s="28"/>
      <c r="J27" s="28"/>
      <c r="K27" s="28"/>
      <c r="L27" s="28"/>
      <c r="M27" s="28"/>
      <c r="N27" s="28"/>
      <c r="O27" s="28"/>
    </row>
    <row r="28" spans="9:15" ht="12.75">
      <c r="I28" s="28"/>
      <c r="J28" s="28"/>
      <c r="K28" s="28"/>
      <c r="L28" s="28"/>
      <c r="M28" s="28"/>
      <c r="N28" s="28"/>
      <c r="O28" s="28"/>
    </row>
    <row r="29" spans="9:15" ht="12.75">
      <c r="I29" s="28"/>
      <c r="J29" s="28"/>
      <c r="K29" s="28"/>
      <c r="L29" s="28"/>
      <c r="M29" s="28"/>
      <c r="N29" s="28"/>
      <c r="O29" s="28"/>
    </row>
    <row r="30" spans="9:15" ht="12.75">
      <c r="I30" s="28"/>
      <c r="J30" s="28"/>
      <c r="K30" s="28"/>
      <c r="L30" s="28"/>
      <c r="M30" s="28"/>
      <c r="N30" s="28"/>
      <c r="O30" s="28"/>
    </row>
    <row r="51" spans="4:15" ht="9" customHeight="1">
      <c r="D51" s="227" t="s">
        <v>184</v>
      </c>
      <c r="E51" s="228" t="s">
        <v>124</v>
      </c>
      <c r="F51" s="227" t="s">
        <v>128</v>
      </c>
      <c r="G51" s="228" t="s">
        <v>124</v>
      </c>
      <c r="H51" s="227" t="s">
        <v>128</v>
      </c>
      <c r="I51" s="228" t="s">
        <v>124</v>
      </c>
      <c r="J51" s="129"/>
      <c r="K51" s="474" t="s">
        <v>230</v>
      </c>
      <c r="L51" s="475"/>
      <c r="M51" s="129"/>
      <c r="N51" s="474" t="s">
        <v>231</v>
      </c>
      <c r="O51" s="475"/>
    </row>
    <row r="52" spans="4:15" ht="9" customHeight="1">
      <c r="D52" s="464" t="s">
        <v>177</v>
      </c>
      <c r="E52" s="465"/>
      <c r="F52" s="464" t="s">
        <v>208</v>
      </c>
      <c r="G52" s="465"/>
      <c r="H52" s="464" t="s">
        <v>180</v>
      </c>
      <c r="I52" s="465"/>
      <c r="J52" s="129"/>
      <c r="K52" s="230">
        <v>24</v>
      </c>
      <c r="L52" s="231">
        <v>29.8</v>
      </c>
      <c r="M52" s="232"/>
      <c r="N52" s="230">
        <v>59</v>
      </c>
      <c r="O52" s="231">
        <v>59.6</v>
      </c>
    </row>
    <row r="53" spans="4:15" ht="9" customHeight="1">
      <c r="D53" s="230">
        <v>24</v>
      </c>
      <c r="E53" s="231">
        <v>29.8</v>
      </c>
      <c r="F53" s="230">
        <v>78</v>
      </c>
      <c r="G53" s="231">
        <v>58.8</v>
      </c>
      <c r="H53" s="230">
        <v>26.8</v>
      </c>
      <c r="I53" s="231">
        <v>29.5</v>
      </c>
      <c r="J53" s="129"/>
      <c r="K53" s="230">
        <v>36</v>
      </c>
      <c r="L53" s="231">
        <v>70.8</v>
      </c>
      <c r="M53" s="232"/>
      <c r="N53" s="230">
        <v>56.6</v>
      </c>
      <c r="O53" s="231">
        <v>73.5</v>
      </c>
    </row>
    <row r="54" spans="4:15" ht="9" customHeight="1">
      <c r="D54" s="230">
        <v>36</v>
      </c>
      <c r="E54" s="231">
        <v>70.8</v>
      </c>
      <c r="F54" s="230">
        <v>93</v>
      </c>
      <c r="G54" s="231">
        <v>74.6</v>
      </c>
      <c r="H54" s="230">
        <v>26.8</v>
      </c>
      <c r="I54" s="231">
        <v>31</v>
      </c>
      <c r="J54" s="129"/>
      <c r="K54" s="230">
        <v>39</v>
      </c>
      <c r="L54" s="231">
        <v>77.2</v>
      </c>
      <c r="M54" s="232"/>
      <c r="N54" s="233">
        <v>64</v>
      </c>
      <c r="O54" s="234">
        <v>84.5</v>
      </c>
    </row>
    <row r="55" spans="4:15" ht="9" customHeight="1">
      <c r="D55" s="230">
        <v>39</v>
      </c>
      <c r="E55" s="231">
        <v>77.2</v>
      </c>
      <c r="F55" s="233">
        <v>134</v>
      </c>
      <c r="G55" s="234">
        <v>99</v>
      </c>
      <c r="H55" s="230">
        <v>31.4</v>
      </c>
      <c r="I55" s="231">
        <v>34</v>
      </c>
      <c r="J55" s="129"/>
      <c r="K55" s="230">
        <v>39</v>
      </c>
      <c r="L55" s="231">
        <v>88</v>
      </c>
      <c r="M55" s="232"/>
      <c r="N55" s="230">
        <v>50</v>
      </c>
      <c r="O55" s="231">
        <v>50.7</v>
      </c>
    </row>
    <row r="56" spans="4:15" ht="9" customHeight="1">
      <c r="D56" s="230">
        <v>39</v>
      </c>
      <c r="E56" s="231">
        <v>88</v>
      </c>
      <c r="F56" s="464" t="s">
        <v>179</v>
      </c>
      <c r="G56" s="465"/>
      <c r="H56" s="230">
        <v>31.4</v>
      </c>
      <c r="I56" s="231">
        <v>37</v>
      </c>
      <c r="J56" s="129"/>
      <c r="K56" s="230">
        <v>42</v>
      </c>
      <c r="L56" s="231">
        <v>61</v>
      </c>
      <c r="M56" s="232"/>
      <c r="N56" s="230">
        <v>65</v>
      </c>
      <c r="O56" s="231">
        <v>90</v>
      </c>
    </row>
    <row r="57" spans="4:15" ht="9" customHeight="1">
      <c r="D57" s="230">
        <v>42</v>
      </c>
      <c r="E57" s="231">
        <v>61</v>
      </c>
      <c r="F57" s="230">
        <v>73</v>
      </c>
      <c r="G57" s="231">
        <v>50.7</v>
      </c>
      <c r="H57" s="232">
        <v>27.4</v>
      </c>
      <c r="I57" s="231">
        <v>48</v>
      </c>
      <c r="J57" s="129"/>
      <c r="K57" s="230">
        <v>42</v>
      </c>
      <c r="L57" s="231">
        <v>75</v>
      </c>
      <c r="M57" s="232"/>
      <c r="N57" s="233">
        <v>87.5</v>
      </c>
      <c r="O57" s="234">
        <v>134</v>
      </c>
    </row>
    <row r="58" spans="4:15" ht="9" customHeight="1">
      <c r="D58" s="230">
        <v>42</v>
      </c>
      <c r="E58" s="231">
        <v>75</v>
      </c>
      <c r="F58" s="230">
        <v>69</v>
      </c>
      <c r="G58" s="231">
        <v>44</v>
      </c>
      <c r="H58" s="232">
        <v>31</v>
      </c>
      <c r="I58" s="231">
        <v>55</v>
      </c>
      <c r="J58" s="129"/>
      <c r="K58" s="230">
        <v>26.5</v>
      </c>
      <c r="L58" s="231">
        <v>29.1</v>
      </c>
      <c r="M58" s="232"/>
      <c r="N58" s="230">
        <v>54</v>
      </c>
      <c r="O58" s="231">
        <v>44.7</v>
      </c>
    </row>
    <row r="59" spans="4:15" ht="9" customHeight="1">
      <c r="D59" s="230">
        <v>26.5</v>
      </c>
      <c r="E59" s="231">
        <v>29.1</v>
      </c>
      <c r="F59" s="230">
        <v>70</v>
      </c>
      <c r="G59" s="231">
        <v>59</v>
      </c>
      <c r="H59" s="232">
        <v>59</v>
      </c>
      <c r="I59" s="231">
        <v>59.6</v>
      </c>
      <c r="J59" s="129"/>
      <c r="K59" s="230">
        <v>32.8</v>
      </c>
      <c r="L59" s="231">
        <v>32.1</v>
      </c>
      <c r="M59" s="232"/>
      <c r="N59" s="230">
        <v>55.8</v>
      </c>
      <c r="O59" s="231">
        <v>59.7</v>
      </c>
    </row>
    <row r="60" spans="4:15" ht="9" customHeight="1">
      <c r="D60" s="230">
        <v>32.8</v>
      </c>
      <c r="E60" s="231">
        <v>32.1</v>
      </c>
      <c r="F60" s="230">
        <v>74</v>
      </c>
      <c r="G60" s="231">
        <v>59</v>
      </c>
      <c r="H60" s="232">
        <v>56.6</v>
      </c>
      <c r="I60" s="231">
        <v>73.5</v>
      </c>
      <c r="J60" s="129"/>
      <c r="K60" s="230">
        <v>32.8</v>
      </c>
      <c r="L60" s="231">
        <v>40.4</v>
      </c>
      <c r="M60" s="232"/>
      <c r="N60" s="230">
        <v>73</v>
      </c>
      <c r="O60" s="231">
        <v>89</v>
      </c>
    </row>
    <row r="61" spans="4:15" ht="9" customHeight="1">
      <c r="D61" s="230">
        <v>32.8</v>
      </c>
      <c r="E61" s="231">
        <v>40.4</v>
      </c>
      <c r="F61" s="230">
        <v>76.5</v>
      </c>
      <c r="G61" s="231">
        <v>59</v>
      </c>
      <c r="H61" s="235">
        <v>64</v>
      </c>
      <c r="I61" s="234">
        <v>84.5</v>
      </c>
      <c r="J61" s="129"/>
      <c r="K61" s="230">
        <v>31</v>
      </c>
      <c r="L61" s="231">
        <v>39</v>
      </c>
      <c r="M61" s="232"/>
      <c r="N61" s="233">
        <v>108.4</v>
      </c>
      <c r="O61" s="234">
        <v>149.2</v>
      </c>
    </row>
    <row r="62" spans="4:15" ht="9" customHeight="1">
      <c r="D62" s="230">
        <v>31</v>
      </c>
      <c r="E62" s="231">
        <v>39</v>
      </c>
      <c r="F62" s="230">
        <v>82</v>
      </c>
      <c r="G62" s="231">
        <v>64.9</v>
      </c>
      <c r="H62" s="464" t="s">
        <v>178</v>
      </c>
      <c r="I62" s="465"/>
      <c r="J62" s="129"/>
      <c r="K62" s="230">
        <v>31</v>
      </c>
      <c r="L62" s="231">
        <v>48.5</v>
      </c>
      <c r="M62" s="232"/>
      <c r="N62" s="232"/>
      <c r="O62" s="232"/>
    </row>
    <row r="63" spans="4:15" ht="9" customHeight="1">
      <c r="D63" s="230">
        <v>31</v>
      </c>
      <c r="E63" s="231">
        <v>48.5</v>
      </c>
      <c r="F63" s="230">
        <v>82</v>
      </c>
      <c r="G63" s="231">
        <v>73.5</v>
      </c>
      <c r="H63" s="230">
        <v>54</v>
      </c>
      <c r="I63" s="231">
        <v>44.7</v>
      </c>
      <c r="J63" s="129"/>
      <c r="K63" s="230">
        <v>36</v>
      </c>
      <c r="L63" s="231">
        <v>51.5</v>
      </c>
      <c r="M63" s="232"/>
      <c r="N63" s="232"/>
      <c r="O63" s="232"/>
    </row>
    <row r="64" spans="4:15" ht="9" customHeight="1">
      <c r="D64" s="230">
        <v>36</v>
      </c>
      <c r="E64" s="231">
        <v>51.5</v>
      </c>
      <c r="F64" s="230">
        <v>77</v>
      </c>
      <c r="G64" s="231">
        <v>74</v>
      </c>
      <c r="H64" s="230">
        <v>55.8</v>
      </c>
      <c r="I64" s="231">
        <v>59.7</v>
      </c>
      <c r="J64" s="129"/>
      <c r="K64" s="230">
        <v>45</v>
      </c>
      <c r="L64" s="231">
        <v>59</v>
      </c>
      <c r="M64" s="232"/>
      <c r="N64" s="232"/>
      <c r="O64" s="232"/>
    </row>
    <row r="65" spans="4:15" ht="9" customHeight="1">
      <c r="D65" s="230">
        <v>45</v>
      </c>
      <c r="E65" s="231">
        <v>59</v>
      </c>
      <c r="F65" s="230">
        <v>100</v>
      </c>
      <c r="G65" s="231">
        <v>96</v>
      </c>
      <c r="H65" s="230">
        <v>73</v>
      </c>
      <c r="I65" s="231">
        <v>89</v>
      </c>
      <c r="J65" s="129"/>
      <c r="K65" s="233">
        <v>45</v>
      </c>
      <c r="L65" s="234">
        <v>74</v>
      </c>
      <c r="M65" s="232"/>
      <c r="N65" s="232"/>
      <c r="O65" s="232"/>
    </row>
    <row r="66" spans="4:15" ht="9" customHeight="1">
      <c r="D66" s="233">
        <v>45</v>
      </c>
      <c r="E66" s="234">
        <v>74</v>
      </c>
      <c r="F66" s="230">
        <v>86</v>
      </c>
      <c r="G66" s="232">
        <v>96</v>
      </c>
      <c r="H66" s="233">
        <v>108.4</v>
      </c>
      <c r="I66" s="234">
        <v>149.2</v>
      </c>
      <c r="J66" s="129"/>
      <c r="K66" s="230">
        <v>26.8</v>
      </c>
      <c r="L66" s="231">
        <v>29.5</v>
      </c>
      <c r="M66" s="232"/>
      <c r="N66" s="232"/>
      <c r="O66" s="232"/>
    </row>
    <row r="67" spans="4:15" ht="9" customHeight="1">
      <c r="D67" s="464" t="s">
        <v>181</v>
      </c>
      <c r="E67" s="465"/>
      <c r="F67" s="233">
        <v>105</v>
      </c>
      <c r="G67" s="235">
        <v>118</v>
      </c>
      <c r="H67" s="464" t="s">
        <v>183</v>
      </c>
      <c r="I67" s="465"/>
      <c r="J67" s="129"/>
      <c r="K67" s="230">
        <v>26.8</v>
      </c>
      <c r="L67" s="231">
        <v>31</v>
      </c>
      <c r="M67" s="232"/>
      <c r="N67" s="232"/>
      <c r="O67" s="232"/>
    </row>
    <row r="68" spans="4:15" ht="9" customHeight="1">
      <c r="D68" s="230">
        <v>50</v>
      </c>
      <c r="E68" s="231">
        <v>50.7</v>
      </c>
      <c r="F68" s="464" t="s">
        <v>182</v>
      </c>
      <c r="G68" s="465"/>
      <c r="H68" s="230">
        <v>96.6</v>
      </c>
      <c r="I68" s="231">
        <v>85.8</v>
      </c>
      <c r="J68" s="129"/>
      <c r="K68" s="230">
        <v>31.4</v>
      </c>
      <c r="L68" s="231">
        <v>34</v>
      </c>
      <c r="M68" s="232"/>
      <c r="N68" s="232"/>
      <c r="O68" s="232"/>
    </row>
    <row r="69" spans="4:15" ht="9" customHeight="1">
      <c r="D69" s="230">
        <v>65</v>
      </c>
      <c r="E69" s="231">
        <v>90</v>
      </c>
      <c r="F69" s="230">
        <v>77.2</v>
      </c>
      <c r="G69" s="232">
        <v>74.6</v>
      </c>
      <c r="H69" s="230">
        <v>98</v>
      </c>
      <c r="I69" s="231">
        <v>88</v>
      </c>
      <c r="J69" s="129"/>
      <c r="K69" s="230">
        <v>31.4</v>
      </c>
      <c r="L69" s="231">
        <v>37</v>
      </c>
      <c r="M69" s="232"/>
      <c r="N69" s="232"/>
      <c r="O69" s="232"/>
    </row>
    <row r="70" spans="4:15" ht="9" customHeight="1">
      <c r="D70" s="233">
        <v>87.5</v>
      </c>
      <c r="E70" s="234">
        <v>134</v>
      </c>
      <c r="F70" s="230">
        <v>93</v>
      </c>
      <c r="G70" s="232">
        <v>93</v>
      </c>
      <c r="H70" s="230">
        <v>98</v>
      </c>
      <c r="I70" s="231">
        <v>86.5</v>
      </c>
      <c r="J70" s="129"/>
      <c r="K70" s="230">
        <v>27.4</v>
      </c>
      <c r="L70" s="231">
        <v>48</v>
      </c>
      <c r="M70" s="232"/>
      <c r="N70" s="232"/>
      <c r="O70" s="232"/>
    </row>
    <row r="71" spans="4:15" ht="9" customHeight="1">
      <c r="D71" s="236">
        <v>4</v>
      </c>
      <c r="E71" s="237">
        <f>G4</f>
        <v>60</v>
      </c>
      <c r="F71" s="230">
        <v>112.8</v>
      </c>
      <c r="G71" s="232">
        <v>108</v>
      </c>
      <c r="H71" s="230">
        <v>110.7</v>
      </c>
      <c r="I71" s="231">
        <v>112</v>
      </c>
      <c r="J71" s="129"/>
      <c r="K71" s="233">
        <v>31</v>
      </c>
      <c r="L71" s="234">
        <v>55</v>
      </c>
      <c r="M71" s="232"/>
      <c r="N71" s="232"/>
      <c r="O71" s="232"/>
    </row>
    <row r="72" spans="4:15" ht="9" customHeight="1">
      <c r="D72" s="236">
        <v>146</v>
      </c>
      <c r="E72" s="237">
        <f>G4</f>
        <v>60</v>
      </c>
      <c r="F72" s="233">
        <v>148.4</v>
      </c>
      <c r="G72" s="235">
        <v>156.7</v>
      </c>
      <c r="H72" s="233">
        <v>112</v>
      </c>
      <c r="I72" s="234">
        <v>119</v>
      </c>
      <c r="J72" s="129"/>
      <c r="K72" s="129"/>
      <c r="L72" s="129"/>
      <c r="M72" s="129"/>
      <c r="N72" s="129"/>
      <c r="O72" s="129"/>
    </row>
  </sheetData>
  <sheetProtection/>
  <mergeCells count="17">
    <mergeCell ref="K51:L51"/>
    <mergeCell ref="N51:O51"/>
    <mergeCell ref="D67:E67"/>
    <mergeCell ref="F68:G68"/>
    <mergeCell ref="H67:I67"/>
    <mergeCell ref="D52:E52"/>
    <mergeCell ref="H62:I62"/>
    <mergeCell ref="F56:G56"/>
    <mergeCell ref="A7:D7"/>
    <mergeCell ref="H52:I52"/>
    <mergeCell ref="F52:G52"/>
    <mergeCell ref="A1:G1"/>
    <mergeCell ref="A3:D3"/>
    <mergeCell ref="A4:D4"/>
    <mergeCell ref="A5:D6"/>
    <mergeCell ref="E5:F5"/>
    <mergeCell ref="E6:F6"/>
  </mergeCells>
  <printOptions/>
  <pageMargins left="0.787401575" right="0.787401575" top="0.984251969" bottom="0.984251969" header="0.4921259845" footer="0.4921259845"/>
  <pageSetup orientation="portrait" paperSize="9" scale="84" r:id="rId2"/>
  <drawing r:id="rId1"/>
</worksheet>
</file>

<file path=xl/worksheets/sheet9.xml><?xml version="1.0" encoding="utf-8"?>
<worksheet xmlns="http://schemas.openxmlformats.org/spreadsheetml/2006/main" xmlns:r="http://schemas.openxmlformats.org/officeDocument/2006/relationships">
  <sheetPr>
    <tabColor indexed="63"/>
    <pageSetUpPr fitToPage="1"/>
  </sheetPr>
  <dimension ref="A1:T129"/>
  <sheetViews>
    <sheetView zoomScaleSheetLayoutView="100" zoomScalePageLayoutView="0" workbookViewId="0" topLeftCell="A1">
      <selection activeCell="C78" sqref="C78"/>
    </sheetView>
  </sheetViews>
  <sheetFormatPr defaultColWidth="11.421875" defaultRowHeight="12.75"/>
  <cols>
    <col min="1" max="1" width="2.421875" style="0" customWidth="1"/>
    <col min="4" max="4" width="11.8515625" style="0" customWidth="1"/>
    <col min="5" max="5" width="13.28125" style="0" customWidth="1"/>
    <col min="9" max="9" width="2.421875" style="0" customWidth="1"/>
    <col min="10" max="10" width="12.57421875" style="0" customWidth="1"/>
    <col min="11" max="11" width="12.8515625" style="0" customWidth="1"/>
    <col min="14" max="14" width="12.7109375" style="0" bestFit="1" customWidth="1"/>
  </cols>
  <sheetData>
    <row r="1" spans="1:13" ht="18">
      <c r="A1" s="385" t="s">
        <v>284</v>
      </c>
      <c r="B1" s="385"/>
      <c r="C1" s="385"/>
      <c r="D1" s="385"/>
      <c r="E1" s="385"/>
      <c r="F1" s="385"/>
      <c r="G1" s="385"/>
      <c r="M1" s="197"/>
    </row>
    <row r="2" ht="12.75">
      <c r="M2" s="197"/>
    </row>
    <row r="3" ht="12.75">
      <c r="M3" s="197"/>
    </row>
    <row r="4" spans="8:13" ht="12.75">
      <c r="H4" s="112"/>
      <c r="I4" s="112"/>
      <c r="J4" s="103"/>
      <c r="M4" s="197"/>
    </row>
    <row r="5" spans="1:13" ht="13.5" thickBot="1">
      <c r="A5" s="189"/>
      <c r="B5" s="190"/>
      <c r="C5" s="190"/>
      <c r="D5" s="190"/>
      <c r="E5" s="190"/>
      <c r="F5" s="190"/>
      <c r="G5" s="190"/>
      <c r="H5" s="190"/>
      <c r="I5" s="191"/>
      <c r="J5" s="28"/>
      <c r="M5" s="197"/>
    </row>
    <row r="6" spans="1:15" ht="12.75">
      <c r="A6" s="192"/>
      <c r="B6" s="361" t="s">
        <v>258</v>
      </c>
      <c r="C6" s="361"/>
      <c r="D6" s="361"/>
      <c r="E6" s="361"/>
      <c r="F6" s="4" t="s">
        <v>0</v>
      </c>
      <c r="G6" s="4" t="s">
        <v>265</v>
      </c>
      <c r="H6" s="4" t="s">
        <v>1</v>
      </c>
      <c r="I6" s="182"/>
      <c r="K6" s="298" t="s">
        <v>221</v>
      </c>
      <c r="L6" s="265">
        <f>'E-Motor'!$G$6</f>
        <v>2.449</v>
      </c>
      <c r="N6" s="3"/>
      <c r="O6" s="3"/>
    </row>
    <row r="7" spans="1:12" ht="12.75">
      <c r="A7" s="192"/>
      <c r="B7" s="360" t="s">
        <v>132</v>
      </c>
      <c r="C7" s="360"/>
      <c r="D7" s="360"/>
      <c r="E7" s="360"/>
      <c r="F7" s="5" t="s">
        <v>271</v>
      </c>
      <c r="G7" s="24">
        <v>2500</v>
      </c>
      <c r="H7" s="5" t="s">
        <v>110</v>
      </c>
      <c r="I7" s="182"/>
      <c r="K7" s="299" t="s">
        <v>264</v>
      </c>
      <c r="L7" s="297">
        <f>'E-Motor'!$G$7</f>
        <v>0.5926</v>
      </c>
    </row>
    <row r="8" spans="1:12" ht="12.75">
      <c r="A8" s="192"/>
      <c r="B8" s="360" t="s">
        <v>133</v>
      </c>
      <c r="C8" s="360"/>
      <c r="D8" s="360"/>
      <c r="E8" s="360"/>
      <c r="F8" s="5" t="s">
        <v>272</v>
      </c>
      <c r="G8" s="24">
        <v>50</v>
      </c>
      <c r="H8" s="5" t="s">
        <v>99</v>
      </c>
      <c r="I8" s="182"/>
      <c r="K8" s="300" t="s">
        <v>222</v>
      </c>
      <c r="L8" s="266">
        <f>'IC Engine'!$G$5</f>
        <v>0.5015</v>
      </c>
    </row>
    <row r="9" spans="1:12" ht="13.5" customHeight="1">
      <c r="A9" s="192"/>
      <c r="B9" s="481" t="s">
        <v>279</v>
      </c>
      <c r="C9" s="482"/>
      <c r="D9" s="482"/>
      <c r="E9" s="483"/>
      <c r="F9" s="5" t="s">
        <v>275</v>
      </c>
      <c r="G9" s="24">
        <v>2.5</v>
      </c>
      <c r="H9" s="5" t="s">
        <v>123</v>
      </c>
      <c r="I9" s="182"/>
      <c r="K9" s="349" t="s">
        <v>223</v>
      </c>
      <c r="L9" s="350">
        <f>'IC Engine'!$G$6</f>
        <v>25.457</v>
      </c>
    </row>
    <row r="10" spans="1:12" ht="24.75" thickBot="1">
      <c r="A10" s="192"/>
      <c r="B10" s="484"/>
      <c r="C10" s="485"/>
      <c r="D10" s="485"/>
      <c r="E10" s="486"/>
      <c r="F10" s="478" t="s">
        <v>134</v>
      </c>
      <c r="G10" s="479"/>
      <c r="H10" s="480"/>
      <c r="I10" s="182"/>
      <c r="J10" s="126"/>
      <c r="K10" s="351" t="s">
        <v>351</v>
      </c>
      <c r="L10" s="352">
        <f>(Polars!G18/Polars!G13)*(Polars!G18/Polars!G23)/(1)</f>
        <v>666.1442006269592</v>
      </c>
    </row>
    <row r="11" spans="1:12" ht="12.75">
      <c r="A11" s="192"/>
      <c r="B11" s="487"/>
      <c r="C11" s="488"/>
      <c r="D11" s="488"/>
      <c r="E11" s="489"/>
      <c r="F11" s="5" t="s">
        <v>273</v>
      </c>
      <c r="G11" s="24"/>
      <c r="H11" s="5" t="s">
        <v>121</v>
      </c>
      <c r="I11" s="182"/>
      <c r="J11" s="126"/>
      <c r="K11" s="208" t="s">
        <v>54</v>
      </c>
      <c r="L11" s="225">
        <f>1.225*(1-'Climb + Ceiling'!$O$109*G7)^4.25588</f>
        <v>1.1378613581822594</v>
      </c>
    </row>
    <row r="12" spans="1:12" ht="12.75">
      <c r="A12" s="192"/>
      <c r="B12" s="490" t="s">
        <v>129</v>
      </c>
      <c r="C12" s="491"/>
      <c r="D12" s="491"/>
      <c r="E12" s="492"/>
      <c r="F12" s="5" t="s">
        <v>274</v>
      </c>
      <c r="G12" s="176">
        <v>1.7</v>
      </c>
      <c r="H12" s="5" t="s">
        <v>130</v>
      </c>
      <c r="I12" s="182"/>
      <c r="J12" s="126"/>
      <c r="K12" s="208" t="s">
        <v>4</v>
      </c>
      <c r="L12" s="208">
        <f>Polars!$G$13</f>
        <v>18.7</v>
      </c>
    </row>
    <row r="13" spans="1:12" ht="12.75">
      <c r="A13" s="192"/>
      <c r="B13" s="360" t="s">
        <v>120</v>
      </c>
      <c r="C13" s="360"/>
      <c r="D13" s="360"/>
      <c r="E13" s="360"/>
      <c r="F13" s="5" t="s">
        <v>273</v>
      </c>
      <c r="G13" s="175">
        <f>IF(G11="",G8*G9*3600/1000,G11)</f>
        <v>450</v>
      </c>
      <c r="H13" s="5" t="s">
        <v>121</v>
      </c>
      <c r="I13" s="182"/>
      <c r="J13" s="126"/>
      <c r="K13" s="208" t="s">
        <v>12</v>
      </c>
      <c r="L13" s="208">
        <f>Polars!$G$19</f>
        <v>0.0118</v>
      </c>
    </row>
    <row r="14" spans="1:12" ht="12.75">
      <c r="A14" s="192"/>
      <c r="B14" s="360" t="s">
        <v>122</v>
      </c>
      <c r="C14" s="360"/>
      <c r="D14" s="360"/>
      <c r="E14" s="360"/>
      <c r="F14" s="5" t="s">
        <v>275</v>
      </c>
      <c r="G14" s="27">
        <f>IF(G9="",G11*1000/G8/3600,G9)</f>
        <v>2.5</v>
      </c>
      <c r="H14" s="5" t="s">
        <v>123</v>
      </c>
      <c r="I14" s="182"/>
      <c r="J14" s="126"/>
      <c r="K14" s="208" t="s">
        <v>22</v>
      </c>
      <c r="L14" s="213">
        <f>Polars!$G$24</f>
        <v>16.320903743315505</v>
      </c>
    </row>
    <row r="15" spans="1:12" ht="12.75">
      <c r="A15" s="192"/>
      <c r="B15" s="178"/>
      <c r="C15" s="178"/>
      <c r="D15" s="178"/>
      <c r="E15" s="178"/>
      <c r="F15" s="305"/>
      <c r="G15" s="179"/>
      <c r="H15" s="180"/>
      <c r="I15" s="182"/>
      <c r="J15" s="126"/>
      <c r="K15" s="208" t="s">
        <v>26</v>
      </c>
      <c r="L15" s="225">
        <f>Polars!$G$28</f>
        <v>0.7932543822407278</v>
      </c>
    </row>
    <row r="16" spans="1:12" ht="12.75">
      <c r="A16" s="192"/>
      <c r="B16" s="361" t="s">
        <v>266</v>
      </c>
      <c r="C16" s="361"/>
      <c r="D16" s="361"/>
      <c r="E16" s="361"/>
      <c r="F16" s="4" t="s">
        <v>0</v>
      </c>
      <c r="G16" s="4" t="s">
        <v>265</v>
      </c>
      <c r="H16" s="4" t="s">
        <v>1</v>
      </c>
      <c r="I16" s="182"/>
      <c r="J16" s="126"/>
      <c r="K16" s="208" t="s">
        <v>350</v>
      </c>
      <c r="L16" s="212">
        <f>Polars!G23</f>
        <v>58</v>
      </c>
    </row>
    <row r="17" spans="1:12" ht="12.75">
      <c r="A17" s="192"/>
      <c r="B17" s="366" t="s">
        <v>336</v>
      </c>
      <c r="C17" s="366"/>
      <c r="D17" s="366"/>
      <c r="E17" s="366"/>
      <c r="F17" s="5" t="s">
        <v>337</v>
      </c>
      <c r="G17" s="96">
        <f>K75^2/(L12*L10)</f>
        <v>97.43432142395251</v>
      </c>
      <c r="H17" s="5" t="s">
        <v>124</v>
      </c>
      <c r="I17" s="182"/>
      <c r="J17" s="126"/>
      <c r="K17" s="208"/>
      <c r="L17" s="225"/>
    </row>
    <row r="18" spans="1:12" ht="12.75">
      <c r="A18" s="192"/>
      <c r="B18" s="429" t="s">
        <v>261</v>
      </c>
      <c r="C18" s="429"/>
      <c r="D18" s="429"/>
      <c r="E18" s="429"/>
      <c r="F18" s="303" t="s">
        <v>276</v>
      </c>
      <c r="G18" s="9">
        <v>150</v>
      </c>
      <c r="H18" s="5" t="s">
        <v>214</v>
      </c>
      <c r="I18" s="182"/>
      <c r="J18" s="126"/>
      <c r="K18" s="208" t="s">
        <v>10</v>
      </c>
      <c r="L18" s="208">
        <f>Polars!$G$17</f>
        <v>1.7</v>
      </c>
    </row>
    <row r="19" spans="1:12" ht="12.75">
      <c r="A19" s="192"/>
      <c r="B19" s="391" t="s">
        <v>278</v>
      </c>
      <c r="C19" s="391"/>
      <c r="D19" s="391"/>
      <c r="E19" s="391"/>
      <c r="F19" s="5" t="s">
        <v>277</v>
      </c>
      <c r="G19" s="264">
        <v>0.5</v>
      </c>
      <c r="H19" s="5"/>
      <c r="I19" s="182"/>
      <c r="J19" s="126"/>
      <c r="K19" s="208" t="s">
        <v>61</v>
      </c>
      <c r="L19" s="296">
        <f>Ranges!$G$15</f>
        <v>1.3375774545847448E-07</v>
      </c>
    </row>
    <row r="20" spans="1:12" ht="12.75">
      <c r="A20" s="192"/>
      <c r="B20" s="178"/>
      <c r="C20" s="178"/>
      <c r="D20" s="178"/>
      <c r="E20" s="178"/>
      <c r="F20" s="259"/>
      <c r="G20" s="259"/>
      <c r="H20" s="260"/>
      <c r="I20" s="182"/>
      <c r="J20" s="126"/>
      <c r="K20" s="208" t="s">
        <v>199</v>
      </c>
      <c r="L20" s="208">
        <f>Ranges!$G$7</f>
        <v>0.72</v>
      </c>
    </row>
    <row r="21" spans="1:12" ht="18">
      <c r="A21" s="192"/>
      <c r="B21" s="177">
        <f>IF(AND(G9&lt;&gt;"",G11&lt;&gt;""),"                  Please enter only Endurance or Distance!","")</f>
      </c>
      <c r="C21" s="178"/>
      <c r="D21" s="178"/>
      <c r="E21" s="178"/>
      <c r="F21" s="260"/>
      <c r="G21" s="260"/>
      <c r="H21" s="260"/>
      <c r="I21" s="182"/>
      <c r="J21" s="126"/>
      <c r="K21" s="208" t="s">
        <v>262</v>
      </c>
      <c r="L21" s="212">
        <f>Ranges!$G$24</f>
        <v>786.64</v>
      </c>
    </row>
    <row r="22" spans="1:17" ht="12.75">
      <c r="A22" s="192"/>
      <c r="B22" s="178"/>
      <c r="C22" s="178"/>
      <c r="D22" s="178"/>
      <c r="E22" s="178"/>
      <c r="F22" s="181"/>
      <c r="G22" s="179"/>
      <c r="H22" s="178"/>
      <c r="I22" s="182"/>
      <c r="J22" s="126"/>
      <c r="K22" s="208" t="s">
        <v>263</v>
      </c>
      <c r="L22" s="208">
        <f>Ranges!G22</f>
        <v>88</v>
      </c>
      <c r="Q22" s="16"/>
    </row>
    <row r="23" spans="1:12" ht="25.5" customHeight="1">
      <c r="A23" s="192"/>
      <c r="B23" s="382" t="s">
        <v>119</v>
      </c>
      <c r="C23" s="383"/>
      <c r="D23" s="383"/>
      <c r="E23" s="384"/>
      <c r="F23" s="302" t="s">
        <v>267</v>
      </c>
      <c r="G23" s="263" t="s">
        <v>1</v>
      </c>
      <c r="H23" s="302" t="s">
        <v>268</v>
      </c>
      <c r="I23" s="182"/>
      <c r="K23" s="208" t="s">
        <v>357</v>
      </c>
      <c r="L23" s="213">
        <v>2.32</v>
      </c>
    </row>
    <row r="24" spans="1:10" ht="12.75">
      <c r="A24" s="192"/>
      <c r="B24" s="360" t="s">
        <v>316</v>
      </c>
      <c r="C24" s="360"/>
      <c r="D24" s="360"/>
      <c r="E24" s="360"/>
      <c r="F24" s="27">
        <f>C61</f>
        <v>23.958119327969822</v>
      </c>
      <c r="G24" s="5" t="s">
        <v>124</v>
      </c>
      <c r="H24" s="96">
        <f>K77</f>
        <v>27.190301245478583</v>
      </c>
      <c r="I24" s="182"/>
      <c r="J24" s="197"/>
    </row>
    <row r="25" spans="1:10" ht="12.75">
      <c r="A25" s="192"/>
      <c r="B25" s="377" t="s">
        <v>205</v>
      </c>
      <c r="C25" s="378"/>
      <c r="D25" s="378"/>
      <c r="E25" s="379"/>
      <c r="F25" s="211">
        <f>C58</f>
        <v>815.3258019437341</v>
      </c>
      <c r="G25" s="5" t="s">
        <v>128</v>
      </c>
      <c r="H25" s="96">
        <f>K75</f>
        <v>1101.6938152525026</v>
      </c>
      <c r="I25" s="261"/>
      <c r="J25" s="353"/>
    </row>
    <row r="26" spans="1:9" ht="12.75">
      <c r="A26" s="192"/>
      <c r="B26" s="377" t="s">
        <v>206</v>
      </c>
      <c r="C26" s="378"/>
      <c r="D26" s="378"/>
      <c r="E26" s="379"/>
      <c r="F26" s="211">
        <f>L21</f>
        <v>786.64</v>
      </c>
      <c r="G26" s="5" t="s">
        <v>128</v>
      </c>
      <c r="H26" s="96">
        <f>K69</f>
        <v>1085.3773216193988</v>
      </c>
      <c r="I26" s="261"/>
    </row>
    <row r="27" spans="1:14" ht="12.75">
      <c r="A27" s="192"/>
      <c r="B27" s="493" t="s">
        <v>318</v>
      </c>
      <c r="C27" s="494"/>
      <c r="D27" s="494"/>
      <c r="E27" s="495"/>
      <c r="F27" s="210">
        <f>C64</f>
        <v>15.935602779983862</v>
      </c>
      <c r="G27" s="10" t="s">
        <v>125</v>
      </c>
      <c r="H27" s="11">
        <f>K81</f>
        <v>9.052182030334306</v>
      </c>
      <c r="I27" s="261"/>
      <c r="N27" s="224"/>
    </row>
    <row r="28" spans="1:9" ht="12.75">
      <c r="A28" s="192"/>
      <c r="B28" s="496"/>
      <c r="C28" s="497"/>
      <c r="D28" s="497"/>
      <c r="E28" s="498"/>
      <c r="F28" s="109">
        <f>C63</f>
        <v>11.47363400158838</v>
      </c>
      <c r="G28" s="10" t="s">
        <v>126</v>
      </c>
      <c r="H28" s="184">
        <f>K80</f>
        <v>6.5175710618407</v>
      </c>
      <c r="I28" s="261"/>
    </row>
    <row r="29" spans="1:17" ht="12.75">
      <c r="A29" s="192"/>
      <c r="B29" s="502" t="s">
        <v>319</v>
      </c>
      <c r="C29" s="371"/>
      <c r="D29" s="371"/>
      <c r="E29" s="372"/>
      <c r="F29" s="27">
        <f>C67</f>
        <v>39.841391588519556</v>
      </c>
      <c r="G29" s="209" t="s">
        <v>127</v>
      </c>
      <c r="H29" s="27">
        <f>K83</f>
        <v>22.661796712644232</v>
      </c>
      <c r="I29" s="261"/>
      <c r="Q29">
        <v>0</v>
      </c>
    </row>
    <row r="30" spans="1:17" ht="12.75" customHeight="1">
      <c r="A30" s="192"/>
      <c r="B30" s="373"/>
      <c r="C30" s="374"/>
      <c r="D30" s="374"/>
      <c r="E30" s="375"/>
      <c r="F30" s="108">
        <f>F29*0.72</f>
        <v>28.68580194373408</v>
      </c>
      <c r="G30" s="209" t="s">
        <v>128</v>
      </c>
      <c r="H30" s="311">
        <f>K82</f>
        <v>16.316493633103846</v>
      </c>
      <c r="I30" s="261"/>
      <c r="Q30">
        <v>0.25</v>
      </c>
    </row>
    <row r="31" spans="1:17" ht="12.75" customHeight="1">
      <c r="A31" s="192"/>
      <c r="B31" s="178"/>
      <c r="C31" s="178"/>
      <c r="D31" s="178"/>
      <c r="E31" s="178"/>
      <c r="F31" s="180"/>
      <c r="G31" s="179"/>
      <c r="H31" s="179"/>
      <c r="I31" s="261"/>
      <c r="Q31">
        <v>0.5</v>
      </c>
    </row>
    <row r="32" spans="1:17" ht="12.75" customHeight="1">
      <c r="A32" s="192"/>
      <c r="B32" s="360" t="s">
        <v>371</v>
      </c>
      <c r="C32" s="360"/>
      <c r="D32" s="360"/>
      <c r="E32" s="360"/>
      <c r="F32" s="11">
        <f>F29*G12</f>
        <v>67.73036570048325</v>
      </c>
      <c r="G32" s="5" t="s">
        <v>131</v>
      </c>
      <c r="H32" s="11">
        <f>K83*G12+'Fuel Climb'!G36</f>
        <v>44.92043135908409</v>
      </c>
      <c r="I32" s="261"/>
      <c r="Q32">
        <v>0.75</v>
      </c>
    </row>
    <row r="33" spans="1:17" ht="12.75">
      <c r="A33" s="192"/>
      <c r="B33" s="503" t="s">
        <v>317</v>
      </c>
      <c r="C33" s="504"/>
      <c r="D33" s="504"/>
      <c r="E33" s="505"/>
      <c r="F33" s="11">
        <f>$L$23*F29</f>
        <v>92.43202848536536</v>
      </c>
      <c r="G33" s="5" t="s">
        <v>128</v>
      </c>
      <c r="H33" s="11">
        <f>$L$23*H29+'Fuel Climb'!G34</f>
        <v>56.63592516545455</v>
      </c>
      <c r="I33" s="261"/>
      <c r="Q33">
        <v>1</v>
      </c>
    </row>
    <row r="34" spans="1:9" ht="12.75">
      <c r="A34" s="193"/>
      <c r="B34" s="194"/>
      <c r="C34" s="194"/>
      <c r="D34" s="194"/>
      <c r="E34" s="194"/>
      <c r="F34" s="194"/>
      <c r="G34" s="194"/>
      <c r="H34" s="262"/>
      <c r="I34" s="301"/>
    </row>
    <row r="35" spans="1:13" s="240" customFormat="1" ht="9" customHeight="1">
      <c r="A35" s="238"/>
      <c r="B35" s="241"/>
      <c r="C35" s="241"/>
      <c r="D35" s="241"/>
      <c r="E35" s="241"/>
      <c r="F35" s="241"/>
      <c r="G35" s="241"/>
      <c r="H35" s="238"/>
      <c r="I35" s="238"/>
      <c r="M35" s="253"/>
    </row>
    <row r="36" spans="1:13" s="240" customFormat="1" ht="9" customHeight="1">
      <c r="A36" s="238"/>
      <c r="B36" s="499" t="s">
        <v>259</v>
      </c>
      <c r="C36" s="500"/>
      <c r="D36" s="501"/>
      <c r="F36" s="499" t="s">
        <v>260</v>
      </c>
      <c r="G36" s="500"/>
      <c r="H36" s="500"/>
      <c r="I36" s="500"/>
      <c r="J36" s="500"/>
      <c r="K36" s="500"/>
      <c r="L36" s="501"/>
      <c r="M36" s="232"/>
    </row>
    <row r="37" spans="1:13" s="240" customFormat="1" ht="9" customHeight="1">
      <c r="A37" s="241"/>
      <c r="B37" s="267" t="s">
        <v>185</v>
      </c>
      <c r="C37" s="268">
        <f>2*L21*9.81/(L11*G8^2*L12)</f>
        <v>0.29013763387345576</v>
      </c>
      <c r="D37" s="269"/>
      <c r="F37" s="294"/>
      <c r="G37" s="295"/>
      <c r="H37" s="277" t="s">
        <v>220</v>
      </c>
      <c r="I37" s="238"/>
      <c r="J37" s="230"/>
      <c r="K37" s="174"/>
      <c r="L37" s="277" t="s">
        <v>227</v>
      </c>
      <c r="M37" s="253"/>
    </row>
    <row r="38" spans="1:13" s="240" customFormat="1" ht="9" customHeight="1">
      <c r="A38" s="241"/>
      <c r="B38" s="270" t="s">
        <v>187</v>
      </c>
      <c r="C38" s="243">
        <f>L13+C37^2/(PI()*L14*L15)</f>
        <v>0.013869672236267595</v>
      </c>
      <c r="D38" s="271"/>
      <c r="F38" s="270" t="s">
        <v>164</v>
      </c>
      <c r="G38" s="254">
        <f>F24*G19</f>
        <v>11.979059663984911</v>
      </c>
      <c r="H38" s="271" t="s">
        <v>124</v>
      </c>
      <c r="I38" s="238"/>
      <c r="J38" s="270" t="s">
        <v>212</v>
      </c>
      <c r="K38" s="246">
        <f>G73*$G$14</f>
        <v>33.57063474682391</v>
      </c>
      <c r="L38" s="271" t="s">
        <v>213</v>
      </c>
      <c r="M38" s="232"/>
    </row>
    <row r="39" spans="1:13" s="240" customFormat="1" ht="9" customHeight="1">
      <c r="A39" s="241"/>
      <c r="B39" s="270" t="s">
        <v>188</v>
      </c>
      <c r="C39" s="246">
        <f>C37/C38</f>
        <v>20.918852942665744</v>
      </c>
      <c r="D39" s="271"/>
      <c r="F39" s="270" t="s">
        <v>212</v>
      </c>
      <c r="G39" s="246">
        <f>G38*G14</f>
        <v>29.94764915996228</v>
      </c>
      <c r="H39" s="271" t="s">
        <v>213</v>
      </c>
      <c r="I39" s="241"/>
      <c r="J39" s="270" t="s">
        <v>215</v>
      </c>
      <c r="K39" s="248">
        <f>1.12*(K38*1000/$G$18)</f>
        <v>250.6607394429519</v>
      </c>
      <c r="L39" s="271" t="s">
        <v>128</v>
      </c>
      <c r="M39" s="232"/>
    </row>
    <row r="40" spans="1:13" s="240" customFormat="1" ht="9" customHeight="1">
      <c r="A40" s="241"/>
      <c r="B40" s="270" t="s">
        <v>202</v>
      </c>
      <c r="C40" s="243">
        <f>1.6/(1+(1+4*C38*L12/(PI()*L18^2))^0.5)</f>
        <v>0.778365953228915</v>
      </c>
      <c r="D40" s="271"/>
      <c r="F40" s="270"/>
      <c r="G40" s="242"/>
      <c r="H40" s="271"/>
      <c r="I40" s="241"/>
      <c r="J40" s="270" t="s">
        <v>219</v>
      </c>
      <c r="K40" s="248">
        <f>1.22*($L$6*G73^$L$7)+3.5</f>
        <v>17.425570544766714</v>
      </c>
      <c r="L40" s="271" t="s">
        <v>128</v>
      </c>
      <c r="M40" s="232"/>
    </row>
    <row r="41" spans="1:13" s="240" customFormat="1" ht="9" customHeight="1">
      <c r="A41" s="241"/>
      <c r="B41" s="270"/>
      <c r="C41" s="247"/>
      <c r="D41" s="271"/>
      <c r="F41" s="270" t="s">
        <v>217</v>
      </c>
      <c r="G41" s="254">
        <f>G39*1000/G18</f>
        <v>199.65099439974853</v>
      </c>
      <c r="H41" s="271" t="s">
        <v>128</v>
      </c>
      <c r="I41" s="241"/>
      <c r="J41" s="270" t="s">
        <v>67</v>
      </c>
      <c r="K41" s="346">
        <f>$G$44+$G$45+K39+K40+$G$65</f>
        <v>1079.01363008958</v>
      </c>
      <c r="L41" s="271" t="s">
        <v>128</v>
      </c>
      <c r="M41" s="232"/>
    </row>
    <row r="42" spans="1:13" s="240" customFormat="1" ht="9" customHeight="1">
      <c r="A42" s="241"/>
      <c r="B42" s="270" t="s">
        <v>189</v>
      </c>
      <c r="C42" s="248">
        <f>0.5*L11*G8^2*C38*L12</f>
        <v>368.89873556406445</v>
      </c>
      <c r="D42" s="271"/>
      <c r="F42" s="270" t="s">
        <v>216</v>
      </c>
      <c r="G42" s="254">
        <f>0.12*G41</f>
        <v>23.958119327969822</v>
      </c>
      <c r="H42" s="271" t="s">
        <v>128</v>
      </c>
      <c r="I42" s="241"/>
      <c r="J42" s="270" t="s">
        <v>211</v>
      </c>
      <c r="K42" s="346">
        <f>K41^2/(L12*L10)</f>
        <v>93.46392250146351</v>
      </c>
      <c r="L42" s="271" t="s">
        <v>128</v>
      </c>
      <c r="M42" s="232"/>
    </row>
    <row r="43" spans="1:13" s="240" customFormat="1" ht="9" customHeight="1">
      <c r="A43" s="241"/>
      <c r="B43" s="270" t="s">
        <v>190</v>
      </c>
      <c r="C43" s="246">
        <f>C42*G8/1000</f>
        <v>18.444936778203225</v>
      </c>
      <c r="D43" s="271"/>
      <c r="F43" s="270" t="s">
        <v>215</v>
      </c>
      <c r="G43" s="279">
        <f>G41+G42</f>
        <v>223.60911372771835</v>
      </c>
      <c r="H43" s="271" t="s">
        <v>128</v>
      </c>
      <c r="I43" s="241"/>
      <c r="J43" s="270" t="s">
        <v>67</v>
      </c>
      <c r="K43" s="346">
        <f>K41-G65+K42</f>
        <v>1081.1902324891823</v>
      </c>
      <c r="L43" s="271" t="s">
        <v>128</v>
      </c>
      <c r="M43" s="232"/>
    </row>
    <row r="44" spans="1:13" s="240" customFormat="1" ht="9" customHeight="1">
      <c r="A44" s="241"/>
      <c r="B44" s="270" t="s">
        <v>191</v>
      </c>
      <c r="C44" s="249">
        <f>C43/C40</f>
        <v>23.69699843844355</v>
      </c>
      <c r="D44" s="271"/>
      <c r="F44" s="270" t="s">
        <v>150</v>
      </c>
      <c r="G44" s="248">
        <f>'Basic Aircraft'!$G$16</f>
        <v>552.64</v>
      </c>
      <c r="H44" s="271" t="s">
        <v>128</v>
      </c>
      <c r="I44" s="241"/>
      <c r="J44" s="270" t="s">
        <v>185</v>
      </c>
      <c r="K44" s="243">
        <f>2*K43*9.81/($L$11*$G$8^2*$L$12)</f>
        <v>0.3987770464526376</v>
      </c>
      <c r="L44" s="271"/>
      <c r="M44" s="253"/>
    </row>
    <row r="45" spans="1:15" s="240" customFormat="1" ht="9" customHeight="1">
      <c r="A45" s="241"/>
      <c r="B45" s="270"/>
      <c r="C45" s="242"/>
      <c r="D45" s="271"/>
      <c r="F45" s="270" t="s">
        <v>155</v>
      </c>
      <c r="G45" s="248">
        <f>'Basic Aircraft'!$G$13</f>
        <v>167</v>
      </c>
      <c r="H45" s="271" t="s">
        <v>128</v>
      </c>
      <c r="I45" s="241"/>
      <c r="J45" s="270" t="s">
        <v>187</v>
      </c>
      <c r="K45" s="243">
        <f>$L$13+K44^2/(PI()*$L$14*$L$15)</f>
        <v>0.015709792856217732</v>
      </c>
      <c r="L45" s="271"/>
      <c r="M45" s="232"/>
      <c r="N45" s="223"/>
      <c r="O45" s="129"/>
    </row>
    <row r="46" spans="1:15" s="240" customFormat="1" ht="9" customHeight="1">
      <c r="A46" s="241"/>
      <c r="B46" s="270" t="s">
        <v>192</v>
      </c>
      <c r="C46" s="246">
        <f>C44*1000*L19*3600</f>
        <v>11.410765506933119</v>
      </c>
      <c r="D46" s="271" t="s">
        <v>126</v>
      </c>
      <c r="F46" s="270" t="s">
        <v>219</v>
      </c>
      <c r="G46" s="280">
        <f>1.22*(L6*G38^L7)+3.5</f>
        <v>16.514333284899386</v>
      </c>
      <c r="H46" s="271" t="s">
        <v>128</v>
      </c>
      <c r="I46" s="241"/>
      <c r="J46" s="270" t="s">
        <v>188</v>
      </c>
      <c r="K46" s="246">
        <f>K44/K45</f>
        <v>25.383978649648892</v>
      </c>
      <c r="L46" s="271"/>
      <c r="M46" s="232"/>
      <c r="N46" s="223"/>
      <c r="O46" s="129"/>
    </row>
    <row r="47" spans="1:15" s="240" customFormat="1" ht="9" customHeight="1">
      <c r="A47" s="241"/>
      <c r="B47" s="270"/>
      <c r="C47" s="246">
        <f>C46/L20</f>
        <v>15.848285426296</v>
      </c>
      <c r="D47" s="271" t="s">
        <v>125</v>
      </c>
      <c r="F47" s="270" t="s">
        <v>211</v>
      </c>
      <c r="G47" s="346">
        <f>L9+L8*L16</f>
        <v>54.544</v>
      </c>
      <c r="H47" s="271" t="s">
        <v>128</v>
      </c>
      <c r="I47" s="241"/>
      <c r="J47" s="270" t="s">
        <v>202</v>
      </c>
      <c r="K47" s="247">
        <f>1.6/(1+(1+4*K45*$L$12/(PI()*$L$18^2))^0.5)</f>
        <v>0.7756654532768289</v>
      </c>
      <c r="L47" s="271"/>
      <c r="M47" s="232"/>
      <c r="N47" s="223"/>
      <c r="O47" s="129"/>
    </row>
    <row r="48" spans="1:15" s="240" customFormat="1" ht="9" customHeight="1">
      <c r="A48" s="241"/>
      <c r="B48" s="270"/>
      <c r="C48" s="242"/>
      <c r="D48" s="271"/>
      <c r="F48" s="270" t="s">
        <v>67</v>
      </c>
      <c r="G48" s="346">
        <f>SUM(G43:G47)</f>
        <v>1014.3074470126178</v>
      </c>
      <c r="H48" s="271" t="s">
        <v>128</v>
      </c>
      <c r="I48" s="241"/>
      <c r="J48" s="270" t="s">
        <v>190</v>
      </c>
      <c r="K48" s="246">
        <f>0.5*$L$11*$G$8^3*K45*$L$12/1000</f>
        <v>20.892068038486126</v>
      </c>
      <c r="L48" s="271" t="s">
        <v>124</v>
      </c>
      <c r="M48" s="253"/>
      <c r="N48" s="223"/>
      <c r="O48" s="129"/>
    </row>
    <row r="49" spans="1:15" s="240" customFormat="1" ht="9" customHeight="1">
      <c r="A49" s="241"/>
      <c r="B49" s="270" t="s">
        <v>200</v>
      </c>
      <c r="C49" s="248">
        <f>C46*G14</f>
        <v>28.526913767332797</v>
      </c>
      <c r="D49" s="271"/>
      <c r="F49" s="270" t="s">
        <v>211</v>
      </c>
      <c r="G49" s="346">
        <f>G48^2/(L12*L10)</f>
        <v>82.59036211734914</v>
      </c>
      <c r="H49" s="271" t="s">
        <v>128</v>
      </c>
      <c r="I49" s="241"/>
      <c r="J49" s="270" t="s">
        <v>191</v>
      </c>
      <c r="K49" s="246">
        <f>K48/K47</f>
        <v>26.93437995752779</v>
      </c>
      <c r="L49" s="271" t="s">
        <v>124</v>
      </c>
      <c r="M49" s="232"/>
      <c r="N49" s="223"/>
      <c r="O49" s="129"/>
    </row>
    <row r="50" spans="1:15" s="240" customFormat="1" ht="9" customHeight="1">
      <c r="A50" s="241"/>
      <c r="B50" s="270" t="s">
        <v>201</v>
      </c>
      <c r="C50" s="248">
        <f>L21+C49</f>
        <v>815.1669137673327</v>
      </c>
      <c r="D50" s="271" t="s">
        <v>128</v>
      </c>
      <c r="F50" s="270" t="s">
        <v>67</v>
      </c>
      <c r="G50" s="346">
        <f>G48-G47+G49</f>
        <v>1042.353809129967</v>
      </c>
      <c r="H50" s="271" t="s">
        <v>128</v>
      </c>
      <c r="I50" s="241"/>
      <c r="J50" s="270" t="s">
        <v>164</v>
      </c>
      <c r="K50" s="246">
        <f>$G$19*K49</f>
        <v>13.467189978763894</v>
      </c>
      <c r="L50" s="271" t="s">
        <v>124</v>
      </c>
      <c r="M50" s="232"/>
      <c r="N50" s="223"/>
      <c r="O50" s="129"/>
    </row>
    <row r="51" spans="1:15" s="240" customFormat="1" ht="9" customHeight="1">
      <c r="A51" s="241"/>
      <c r="B51" s="270"/>
      <c r="C51" s="248"/>
      <c r="D51" s="271"/>
      <c r="F51" s="270" t="s">
        <v>185</v>
      </c>
      <c r="G51" s="243">
        <f>2*G50*9.81/(L11*G8^2*L12)</f>
        <v>0.38445294904905974</v>
      </c>
      <c r="H51" s="271"/>
      <c r="I51" s="241"/>
      <c r="J51" s="274" t="s">
        <v>210</v>
      </c>
      <c r="K51" s="282">
        <f>K49-K50</f>
        <v>13.467189978763894</v>
      </c>
      <c r="L51" s="276" t="s">
        <v>124</v>
      </c>
      <c r="M51" s="232"/>
      <c r="N51" s="223"/>
      <c r="O51" s="129"/>
    </row>
    <row r="52" spans="1:15" s="240" customFormat="1" ht="9" customHeight="1">
      <c r="A52" s="241"/>
      <c r="B52" s="270" t="s">
        <v>193</v>
      </c>
      <c r="C52" s="243">
        <f>2*C50*9.81/(L11*G8^2*L12)</f>
        <v>0.3006592590923183</v>
      </c>
      <c r="D52" s="271"/>
      <c r="F52" s="270" t="s">
        <v>187</v>
      </c>
      <c r="G52" s="243">
        <f>L13+G51^2/(PI()*L14*L15)</f>
        <v>0.015433957444050878</v>
      </c>
      <c r="H52" s="271"/>
      <c r="I52" s="241"/>
      <c r="J52" s="229"/>
      <c r="K52" s="244"/>
      <c r="L52" s="245" t="s">
        <v>229</v>
      </c>
      <c r="M52" s="232"/>
      <c r="N52" s="223"/>
      <c r="O52" s="129"/>
    </row>
    <row r="53" spans="1:15" s="240" customFormat="1" ht="9" customHeight="1">
      <c r="A53" s="241"/>
      <c r="B53" s="270" t="s">
        <v>194</v>
      </c>
      <c r="C53" s="243">
        <f>L13+C52^2/(PI()*L14*L15)</f>
        <v>0.014022504298994015</v>
      </c>
      <c r="D53" s="271"/>
      <c r="F53" s="270" t="s">
        <v>188</v>
      </c>
      <c r="G53" s="246">
        <f>G51/G52</f>
        <v>24.90955093291706</v>
      </c>
      <c r="H53" s="271"/>
      <c r="I53" s="241"/>
      <c r="J53" s="270" t="s">
        <v>212</v>
      </c>
      <c r="K53" s="246">
        <f>K50*$G$14</f>
        <v>33.66797494690974</v>
      </c>
      <c r="L53" s="271" t="s">
        <v>213</v>
      </c>
      <c r="M53" s="232"/>
      <c r="N53" s="223"/>
      <c r="O53" s="129"/>
    </row>
    <row r="54" spans="1:14" s="240" customFormat="1" ht="9" customHeight="1">
      <c r="A54" s="241"/>
      <c r="B54" s="270" t="s">
        <v>195</v>
      </c>
      <c r="C54" s="246">
        <f>C52/C53</f>
        <v>21.44119571522526</v>
      </c>
      <c r="D54" s="271"/>
      <c r="F54" s="270" t="s">
        <v>202</v>
      </c>
      <c r="G54" s="247">
        <f>1.6/(1+(1+4*G52*L12/(L18^2*PI()))^0.5)</f>
        <v>0.7760679085959105</v>
      </c>
      <c r="H54" s="271"/>
      <c r="I54" s="251"/>
      <c r="J54" s="270" t="s">
        <v>215</v>
      </c>
      <c r="K54" s="248">
        <f>1.12*(K53*1000/$G$18)</f>
        <v>251.3875462702594</v>
      </c>
      <c r="L54" s="271" t="s">
        <v>128</v>
      </c>
      <c r="M54" s="232"/>
      <c r="N54" s="223"/>
    </row>
    <row r="55" spans="1:14" s="240" customFormat="1" ht="9" customHeight="1">
      <c r="A55" s="241"/>
      <c r="B55" s="272"/>
      <c r="C55" s="252"/>
      <c r="D55" s="271"/>
      <c r="F55" s="270" t="s">
        <v>189</v>
      </c>
      <c r="G55" s="248">
        <f>0.5*L11*G8^2*G52*L12</f>
        <v>410.5048258438238</v>
      </c>
      <c r="H55" s="271" t="s">
        <v>225</v>
      </c>
      <c r="I55" s="241"/>
      <c r="J55" s="270" t="s">
        <v>219</v>
      </c>
      <c r="K55" s="248">
        <f>1.22*($L$6*K50^$L$7)+3.5</f>
        <v>17.449484482115682</v>
      </c>
      <c r="L55" s="271" t="s">
        <v>128</v>
      </c>
      <c r="M55" s="253"/>
      <c r="N55" s="223"/>
    </row>
    <row r="56" spans="1:20" s="240" customFormat="1" ht="9" customHeight="1">
      <c r="A56" s="241"/>
      <c r="B56" s="270" t="s">
        <v>196</v>
      </c>
      <c r="C56" s="246">
        <f>(C54+C39)/2</f>
        <v>21.1800243289455</v>
      </c>
      <c r="D56" s="271"/>
      <c r="F56" s="270" t="s">
        <v>190</v>
      </c>
      <c r="G56" s="246">
        <f>G55*G8/1000</f>
        <v>20.525241292191193</v>
      </c>
      <c r="H56" s="271" t="s">
        <v>124</v>
      </c>
      <c r="I56" s="241"/>
      <c r="J56" s="270" t="s">
        <v>67</v>
      </c>
      <c r="K56" s="346">
        <f>$G$44+$G$45+K54+K55+$K$42</f>
        <v>1081.9409532538386</v>
      </c>
      <c r="L56" s="271" t="s">
        <v>128</v>
      </c>
      <c r="M56" s="232"/>
      <c r="N56" s="223"/>
      <c r="R56" s="253"/>
      <c r="S56" s="253"/>
      <c r="T56" s="253"/>
    </row>
    <row r="57" spans="1:20" s="240" customFormat="1" ht="9" customHeight="1">
      <c r="A57" s="241"/>
      <c r="B57" s="273"/>
      <c r="C57" s="243"/>
      <c r="D57" s="271"/>
      <c r="F57" s="270" t="s">
        <v>191</v>
      </c>
      <c r="G57" s="246">
        <f>G56/G54</f>
        <v>26.447738741479707</v>
      </c>
      <c r="H57" s="271" t="s">
        <v>124</v>
      </c>
      <c r="I57" s="241"/>
      <c r="J57" s="270" t="s">
        <v>211</v>
      </c>
      <c r="K57" s="346">
        <f>K56^2/(L12*L10)</f>
        <v>93.97173858410223</v>
      </c>
      <c r="L57" s="271" t="s">
        <v>128</v>
      </c>
      <c r="M57" s="232"/>
      <c r="N57" s="223"/>
      <c r="R57" s="253"/>
      <c r="S57" s="253"/>
      <c r="T57" s="253"/>
    </row>
    <row r="58" spans="1:20" s="240" customFormat="1" ht="9" customHeight="1">
      <c r="A58" s="241"/>
      <c r="B58" s="273" t="s">
        <v>186</v>
      </c>
      <c r="C58" s="254">
        <f>L21*EXP(L19*9.81*G13*1000/(C40*C56))</f>
        <v>815.3258019437341</v>
      </c>
      <c r="D58" s="271"/>
      <c r="F58" s="270" t="s">
        <v>164</v>
      </c>
      <c r="G58" s="281">
        <f>G57*G19</f>
        <v>13.223869370739854</v>
      </c>
      <c r="H58" s="271" t="s">
        <v>124</v>
      </c>
      <c r="I58" s="241"/>
      <c r="J58" s="270" t="s">
        <v>67</v>
      </c>
      <c r="K58" s="348">
        <f>K56-K42+K57</f>
        <v>1082.4487693364774</v>
      </c>
      <c r="L58" s="271" t="s">
        <v>128</v>
      </c>
      <c r="M58" s="253"/>
      <c r="N58" s="223"/>
      <c r="R58" s="253"/>
      <c r="S58" s="253"/>
      <c r="T58" s="253"/>
    </row>
    <row r="59" spans="1:20" s="240" customFormat="1" ht="9" customHeight="1">
      <c r="A59" s="241"/>
      <c r="B59" s="270" t="s">
        <v>197</v>
      </c>
      <c r="C59" s="254">
        <f>0.5*L11*G8^2*C53*L12</f>
        <v>372.96368776574644</v>
      </c>
      <c r="D59" s="271"/>
      <c r="F59" s="274" t="s">
        <v>210</v>
      </c>
      <c r="G59" s="282">
        <f>G57-G58</f>
        <v>13.223869370739854</v>
      </c>
      <c r="H59" s="276" t="s">
        <v>124</v>
      </c>
      <c r="I59" s="241"/>
      <c r="J59" s="270" t="s">
        <v>185</v>
      </c>
      <c r="K59" s="243">
        <f>2*K58*9.81/($L$11*$G$8^2*$L$12)</f>
        <v>0.39924123452216975</v>
      </c>
      <c r="L59" s="271"/>
      <c r="M59" s="232"/>
      <c r="N59" s="223"/>
      <c r="R59" s="253"/>
      <c r="S59" s="253"/>
      <c r="T59" s="253"/>
    </row>
    <row r="60" spans="1:20" s="240" customFormat="1" ht="9" customHeight="1">
      <c r="A60" s="241"/>
      <c r="B60" s="270" t="s">
        <v>203</v>
      </c>
      <c r="C60" s="255">
        <f>C59*G8/1000</f>
        <v>18.648184388287323</v>
      </c>
      <c r="D60" s="271"/>
      <c r="F60" s="267"/>
      <c r="G60" s="283"/>
      <c r="H60" s="245" t="s">
        <v>224</v>
      </c>
      <c r="I60" s="256"/>
      <c r="J60" s="270" t="s">
        <v>187</v>
      </c>
      <c r="K60" s="243">
        <f>$L$13+K59^2/(PI()*$L$14*$L$15)</f>
        <v>0.01571890037883175</v>
      </c>
      <c r="L60" s="271"/>
      <c r="M60" s="232"/>
      <c r="N60" s="223"/>
      <c r="R60" s="253"/>
      <c r="S60" s="253"/>
      <c r="T60" s="253"/>
    </row>
    <row r="61" spans="1:20" s="240" customFormat="1" ht="9" customHeight="1">
      <c r="A61" s="241"/>
      <c r="B61" s="270" t="s">
        <v>204</v>
      </c>
      <c r="C61" s="249">
        <f>C60/C40</f>
        <v>23.958119327969822</v>
      </c>
      <c r="D61" s="271"/>
      <c r="F61" s="270" t="s">
        <v>212</v>
      </c>
      <c r="G61" s="246">
        <f>G58*G14</f>
        <v>33.059673426849635</v>
      </c>
      <c r="H61" s="271" t="s">
        <v>213</v>
      </c>
      <c r="I61" s="256"/>
      <c r="J61" s="270" t="s">
        <v>188</v>
      </c>
      <c r="K61" s="246">
        <f>K59/K60</f>
        <v>25.398801754594608</v>
      </c>
      <c r="L61" s="271"/>
      <c r="M61" s="232"/>
      <c r="N61" s="223"/>
      <c r="R61" s="253"/>
      <c r="S61" s="253"/>
      <c r="T61" s="253"/>
    </row>
    <row r="62" spans="1:20" s="240" customFormat="1" ht="9" customHeight="1">
      <c r="A62" s="241"/>
      <c r="B62" s="270" t="s">
        <v>198</v>
      </c>
      <c r="C62" s="255">
        <f>C61*1000*L19*3600</f>
        <v>11.536502496243642</v>
      </c>
      <c r="D62" s="271" t="s">
        <v>126</v>
      </c>
      <c r="F62" s="270" t="s">
        <v>215</v>
      </c>
      <c r="G62" s="248">
        <f>1.12*(G61*1000/G18)</f>
        <v>246.84556158714398</v>
      </c>
      <c r="H62" s="271" t="s">
        <v>128</v>
      </c>
      <c r="I62" s="256"/>
      <c r="J62" s="270" t="s">
        <v>202</v>
      </c>
      <c r="K62" s="247">
        <f>1.6/(1+(1+4*K60*$L$12/(PI()*$L$18^2))^0.5)</f>
        <v>0.7756521790460483</v>
      </c>
      <c r="L62" s="271"/>
      <c r="M62" s="253"/>
      <c r="N62" s="223"/>
      <c r="R62" s="253"/>
      <c r="S62" s="253"/>
      <c r="T62" s="253"/>
    </row>
    <row r="63" spans="1:20" s="240" customFormat="1" ht="9" customHeight="1">
      <c r="A63" s="241"/>
      <c r="B63" s="270" t="s">
        <v>207</v>
      </c>
      <c r="C63" s="255">
        <f>(C62+C46)/2</f>
        <v>11.47363400158838</v>
      </c>
      <c r="D63" s="271"/>
      <c r="F63" s="270" t="s">
        <v>219</v>
      </c>
      <c r="G63" s="248">
        <f>1.22*(L6*G58^L7)+3.5</f>
        <v>17.299574416601285</v>
      </c>
      <c r="H63" s="271" t="s">
        <v>128</v>
      </c>
      <c r="I63" s="256"/>
      <c r="J63" s="270" t="s">
        <v>190</v>
      </c>
      <c r="K63" s="246">
        <f>0.5*$L$11*$G$8^3*K60*$L$12/1000</f>
        <v>20.904179909333543</v>
      </c>
      <c r="L63" s="271" t="s">
        <v>124</v>
      </c>
      <c r="M63" s="232"/>
      <c r="N63" s="223"/>
      <c r="R63" s="253"/>
      <c r="S63" s="253"/>
      <c r="T63" s="253"/>
    </row>
    <row r="64" spans="1:14" s="240" customFormat="1" ht="9" customHeight="1">
      <c r="A64" s="241"/>
      <c r="B64" s="270"/>
      <c r="C64" s="255">
        <f>C63/L20</f>
        <v>15.935602779983862</v>
      </c>
      <c r="D64" s="271" t="s">
        <v>125</v>
      </c>
      <c r="F64" s="270" t="s">
        <v>67</v>
      </c>
      <c r="G64" s="346">
        <f>G44+G45+G62+G63+G49</f>
        <v>1066.3754981210943</v>
      </c>
      <c r="H64" s="271" t="s">
        <v>128</v>
      </c>
      <c r="I64" s="256"/>
      <c r="J64" s="274" t="s">
        <v>191</v>
      </c>
      <c r="K64" s="282">
        <f>K63/K62</f>
        <v>26.950455982787254</v>
      </c>
      <c r="L64" s="276" t="s">
        <v>124</v>
      </c>
      <c r="M64" s="232"/>
      <c r="N64" s="223"/>
    </row>
    <row r="65" spans="1:14" s="240" customFormat="1" ht="9" customHeight="1">
      <c r="A65" s="241"/>
      <c r="B65" s="270"/>
      <c r="C65" s="250"/>
      <c r="D65" s="271"/>
      <c r="F65" s="270" t="s">
        <v>211</v>
      </c>
      <c r="G65" s="346">
        <f>G64^2/(L12*L10)</f>
        <v>91.28732010186117</v>
      </c>
      <c r="H65" s="271" t="s">
        <v>128</v>
      </c>
      <c r="I65" s="256"/>
      <c r="J65" s="267" t="s">
        <v>192</v>
      </c>
      <c r="K65" s="283">
        <f>K64*(1-$G$19)*1000*3600*$L$19</f>
        <v>6.488698016403861</v>
      </c>
      <c r="L65" s="269" t="s">
        <v>126</v>
      </c>
      <c r="M65" s="232"/>
      <c r="N65" s="223"/>
    </row>
    <row r="66" spans="1:14" s="240" customFormat="1" ht="9" customHeight="1">
      <c r="A66" s="241"/>
      <c r="B66" s="273" t="s">
        <v>65</v>
      </c>
      <c r="C66" s="255">
        <f>C58-L21</f>
        <v>28.685801943734077</v>
      </c>
      <c r="D66" s="271" t="s">
        <v>128</v>
      </c>
      <c r="F66" s="270" t="s">
        <v>67</v>
      </c>
      <c r="G66" s="346">
        <f>G64-G49+G65</f>
        <v>1075.0724561056063</v>
      </c>
      <c r="H66" s="271" t="s">
        <v>128</v>
      </c>
      <c r="I66" s="256"/>
      <c r="J66" s="284" t="s">
        <v>228</v>
      </c>
      <c r="K66" s="347">
        <f>K65*$G$14+K58</f>
        <v>1098.670514377487</v>
      </c>
      <c r="L66" s="286" t="s">
        <v>128</v>
      </c>
      <c r="M66" s="232"/>
      <c r="N66" s="223"/>
    </row>
    <row r="67" spans="1:15" s="240" customFormat="1" ht="9" customHeight="1">
      <c r="A67" s="241"/>
      <c r="B67" s="274" t="s">
        <v>63</v>
      </c>
      <c r="C67" s="275">
        <f>C66/L20</f>
        <v>39.841391588519556</v>
      </c>
      <c r="D67" s="276" t="s">
        <v>127</v>
      </c>
      <c r="F67" s="270" t="s">
        <v>185</v>
      </c>
      <c r="G67" s="243">
        <f>2*G66*9.81/($L$11*$G$8^2*$L$12)</f>
        <v>0.39652061763577395</v>
      </c>
      <c r="H67" s="271"/>
      <c r="I67" s="354"/>
      <c r="J67" s="284" t="s">
        <v>211</v>
      </c>
      <c r="K67" s="346">
        <f>K66^2/(L12*L10)</f>
        <v>96.90029086702359</v>
      </c>
      <c r="L67" s="286" t="s">
        <v>128</v>
      </c>
      <c r="M67" s="246" t="s">
        <v>352</v>
      </c>
      <c r="N67" s="246">
        <f>'Fuel Climb'!C23</f>
        <v>1.501946825231911</v>
      </c>
      <c r="O67" s="246" t="s">
        <v>128</v>
      </c>
    </row>
    <row r="68" spans="1:15" s="240" customFormat="1" ht="9" customHeight="1">
      <c r="A68" s="241"/>
      <c r="B68" s="239"/>
      <c r="C68" s="257"/>
      <c r="D68" s="239"/>
      <c r="F68" s="270" t="s">
        <v>187</v>
      </c>
      <c r="G68" s="243">
        <f>$L$13+G67^2/(PI()*$L$14*$L$15)</f>
        <v>0.015665671912999758</v>
      </c>
      <c r="H68" s="271"/>
      <c r="I68" s="354"/>
      <c r="J68" s="284" t="s">
        <v>186</v>
      </c>
      <c r="K68" s="346">
        <f>K66-K57+K67</f>
        <v>1101.5990666604084</v>
      </c>
      <c r="L68" s="286" t="s">
        <v>128</v>
      </c>
      <c r="M68" s="246" t="s">
        <v>353</v>
      </c>
      <c r="N68" s="248">
        <f>K68+N67</f>
        <v>1103.1010134856404</v>
      </c>
      <c r="O68" s="246" t="s">
        <v>128</v>
      </c>
    </row>
    <row r="69" spans="6:15" s="240" customFormat="1" ht="9" customHeight="1">
      <c r="F69" s="270" t="s">
        <v>188</v>
      </c>
      <c r="G69" s="246">
        <f>G67/G68</f>
        <v>25.311433804938265</v>
      </c>
      <c r="H69" s="271"/>
      <c r="I69" s="241"/>
      <c r="J69" s="284" t="s">
        <v>67</v>
      </c>
      <c r="K69" s="348">
        <f>K68-K65*G9</f>
        <v>1085.3773216193988</v>
      </c>
      <c r="L69" s="286" t="s">
        <v>128</v>
      </c>
      <c r="M69" s="476" t="s">
        <v>354</v>
      </c>
      <c r="N69" s="355">
        <f>N68^2/(L12*L10)</f>
        <v>97.68338694155946</v>
      </c>
      <c r="O69" s="246" t="s">
        <v>128</v>
      </c>
    </row>
    <row r="70" spans="6:16" s="240" customFormat="1" ht="9" customHeight="1">
      <c r="F70" s="270" t="s">
        <v>202</v>
      </c>
      <c r="G70" s="247">
        <f>1.6/(1+(1+4*G68*$L$12/(PI()*$L$18^2))^0.5)</f>
        <v>0.7757297723084722</v>
      </c>
      <c r="H70" s="271"/>
      <c r="I70" s="253"/>
      <c r="J70" s="284" t="s">
        <v>193</v>
      </c>
      <c r="K70" s="287">
        <f>2*K68*9.81/($L$11*$G$8^2*$L$12)</f>
        <v>0.4063044679625472</v>
      </c>
      <c r="L70" s="286"/>
      <c r="M70" s="477"/>
      <c r="N70" s="253"/>
      <c r="O70" s="253"/>
      <c r="P70" s="253"/>
    </row>
    <row r="71" spans="6:16" s="240" customFormat="1" ht="9" customHeight="1">
      <c r="F71" s="270" t="s">
        <v>190</v>
      </c>
      <c r="G71" s="246">
        <f>0.5*$L$11*$G$8^3*G68*$L$12/1000</f>
        <v>20.83339267872368</v>
      </c>
      <c r="H71" s="271" t="s">
        <v>124</v>
      </c>
      <c r="I71" s="253"/>
      <c r="J71" s="284" t="s">
        <v>194</v>
      </c>
      <c r="K71" s="287">
        <f>$L$13+K70^2/(PI()*$L$14*$L$15)</f>
        <v>0.0158587905459216</v>
      </c>
      <c r="L71" s="286"/>
      <c r="M71" s="246" t="s">
        <v>353</v>
      </c>
      <c r="N71" s="246">
        <f>N68-K67+N69</f>
        <v>1103.8841095601763</v>
      </c>
      <c r="O71" s="246" t="s">
        <v>128</v>
      </c>
      <c r="P71" s="253"/>
    </row>
    <row r="72" spans="6:13" s="240" customFormat="1" ht="9" customHeight="1">
      <c r="F72" s="270" t="s">
        <v>191</v>
      </c>
      <c r="G72" s="246">
        <f>G71/G70</f>
        <v>26.85650779745913</v>
      </c>
      <c r="H72" s="271" t="s">
        <v>124</v>
      </c>
      <c r="I72" s="253"/>
      <c r="J72" s="284" t="s">
        <v>195</v>
      </c>
      <c r="K72" s="281">
        <f>K70/K71</f>
        <v>25.620142140475927</v>
      </c>
      <c r="L72" s="286"/>
      <c r="M72" s="232"/>
    </row>
    <row r="73" spans="6:13" s="240" customFormat="1" ht="9" customHeight="1">
      <c r="F73" s="270" t="s">
        <v>164</v>
      </c>
      <c r="G73" s="246">
        <f>$G$19*G72</f>
        <v>13.428253898729565</v>
      </c>
      <c r="H73" s="271" t="s">
        <v>124</v>
      </c>
      <c r="I73" s="253"/>
      <c r="J73" s="284" t="s">
        <v>196</v>
      </c>
      <c r="K73" s="281">
        <f>(K72+K61)/2</f>
        <v>25.509471947535268</v>
      </c>
      <c r="L73" s="286"/>
      <c r="M73" s="232"/>
    </row>
    <row r="74" spans="6:16" s="240" customFormat="1" ht="9" customHeight="1">
      <c r="F74" s="274" t="s">
        <v>210</v>
      </c>
      <c r="G74" s="282">
        <f>G72-G73</f>
        <v>13.428253898729565</v>
      </c>
      <c r="H74" s="276" t="s">
        <v>124</v>
      </c>
      <c r="I74" s="253"/>
      <c r="J74" s="288" t="s">
        <v>226</v>
      </c>
      <c r="K74" s="289">
        <f>$L$19*(1-$G$19)</f>
        <v>6.687887272923724E-08</v>
      </c>
      <c r="L74" s="286" t="s">
        <v>360</v>
      </c>
      <c r="M74" s="232"/>
      <c r="N74" s="232"/>
      <c r="O74" s="253"/>
      <c r="P74" s="253"/>
    </row>
    <row r="75" spans="8:16" s="240" customFormat="1" ht="9" customHeight="1">
      <c r="H75" s="253"/>
      <c r="I75" s="253"/>
      <c r="J75" s="288" t="s">
        <v>186</v>
      </c>
      <c r="K75" s="285">
        <f>(K68-K65*G9)*EXP(K74*9.81*$G$13*1000/(K62*K73))</f>
        <v>1101.6938152525026</v>
      </c>
      <c r="L75" s="286" t="s">
        <v>128</v>
      </c>
      <c r="M75" s="253"/>
      <c r="N75" s="232"/>
      <c r="O75" s="253"/>
      <c r="P75" s="253"/>
    </row>
    <row r="76" spans="8:13" s="240" customFormat="1" ht="9" customHeight="1">
      <c r="H76" s="253"/>
      <c r="I76" s="253"/>
      <c r="J76" s="288" t="s">
        <v>203</v>
      </c>
      <c r="K76" s="281">
        <f>0.5*$L$11*$G$8^3*$L$12*K71/1000</f>
        <v>21.090216409973944</v>
      </c>
      <c r="L76" s="286" t="s">
        <v>124</v>
      </c>
      <c r="M76" s="232"/>
    </row>
    <row r="77" spans="8:14" s="240" customFormat="1" ht="9" customHeight="1">
      <c r="H77" s="253"/>
      <c r="I77" s="253"/>
      <c r="J77" s="288" t="s">
        <v>204</v>
      </c>
      <c r="K77" s="281">
        <f>K76/K62</f>
        <v>27.190301245478583</v>
      </c>
      <c r="L77" s="286" t="s">
        <v>124</v>
      </c>
      <c r="M77" s="232"/>
      <c r="N77" s="129"/>
    </row>
    <row r="78" spans="8:14" s="240" customFormat="1" ht="9" customHeight="1">
      <c r="H78" s="253"/>
      <c r="I78" s="253"/>
      <c r="J78" s="288" t="s">
        <v>164</v>
      </c>
      <c r="K78" s="281">
        <f>K77*G19</f>
        <v>13.595150622739292</v>
      </c>
      <c r="L78" s="286" t="s">
        <v>124</v>
      </c>
      <c r="M78" s="278"/>
      <c r="N78" s="128"/>
    </row>
    <row r="79" spans="8:14" s="240" customFormat="1" ht="9" customHeight="1">
      <c r="H79" s="253"/>
      <c r="I79" s="253"/>
      <c r="J79" s="288" t="s">
        <v>198</v>
      </c>
      <c r="K79" s="281">
        <f>K77*K74*1000*3600</f>
        <v>6.546444107277539</v>
      </c>
      <c r="L79" s="286" t="s">
        <v>126</v>
      </c>
      <c r="M79" s="232"/>
      <c r="N79" s="128"/>
    </row>
    <row r="80" spans="8:14" s="240" customFormat="1" ht="9" customHeight="1">
      <c r="H80" s="253"/>
      <c r="I80" s="253"/>
      <c r="J80" s="288" t="s">
        <v>207</v>
      </c>
      <c r="K80" s="281">
        <f>(K79+K65)/2</f>
        <v>6.5175710618407</v>
      </c>
      <c r="L80" s="286" t="s">
        <v>126</v>
      </c>
      <c r="M80" s="232"/>
      <c r="N80" s="128"/>
    </row>
    <row r="81" spans="8:14" s="240" customFormat="1" ht="9" customHeight="1">
      <c r="H81" s="253"/>
      <c r="I81" s="253"/>
      <c r="J81" s="284"/>
      <c r="K81" s="281">
        <f>K80/$L$20</f>
        <v>9.052182030334306</v>
      </c>
      <c r="L81" s="286" t="s">
        <v>125</v>
      </c>
      <c r="M81" s="232"/>
      <c r="N81" s="128"/>
    </row>
    <row r="82" spans="8:13" s="240" customFormat="1" ht="9" customHeight="1">
      <c r="H82" s="253"/>
      <c r="I82" s="253"/>
      <c r="J82" s="284" t="s">
        <v>65</v>
      </c>
      <c r="K82" s="290">
        <f>K75-K69</f>
        <v>16.316493633103846</v>
      </c>
      <c r="L82" s="286" t="s">
        <v>128</v>
      </c>
      <c r="M82" s="232"/>
    </row>
    <row r="83" spans="8:13" s="240" customFormat="1" ht="9" customHeight="1">
      <c r="H83" s="253"/>
      <c r="I83" s="253"/>
      <c r="J83" s="291"/>
      <c r="K83" s="292">
        <f>K82/$L$20</f>
        <v>22.661796712644232</v>
      </c>
      <c r="L83" s="293" t="s">
        <v>127</v>
      </c>
      <c r="M83" s="232"/>
    </row>
    <row r="84" spans="8:13" s="240" customFormat="1" ht="9" customHeight="1">
      <c r="H84" s="253"/>
      <c r="I84" s="253"/>
      <c r="M84" s="253"/>
    </row>
    <row r="85" spans="8:13" s="240" customFormat="1" ht="9" customHeight="1">
      <c r="H85" s="253"/>
      <c r="I85" s="253"/>
      <c r="M85" s="232"/>
    </row>
    <row r="86" spans="8:13" s="240" customFormat="1" ht="9" customHeight="1">
      <c r="H86" s="253"/>
      <c r="I86" s="253"/>
      <c r="M86" s="253"/>
    </row>
    <row r="87" spans="8:13" s="240" customFormat="1" ht="9" customHeight="1">
      <c r="H87" s="253"/>
      <c r="I87" s="253"/>
      <c r="M87" s="232"/>
    </row>
    <row r="88" spans="8:13" s="240" customFormat="1" ht="9" customHeight="1">
      <c r="H88" s="253"/>
      <c r="I88" s="253"/>
      <c r="M88" s="232"/>
    </row>
    <row r="89" spans="8:13" s="240" customFormat="1" ht="9" customHeight="1">
      <c r="H89" s="253"/>
      <c r="I89" s="253"/>
      <c r="M89" s="232"/>
    </row>
    <row r="90" spans="8:13" s="240" customFormat="1" ht="9" customHeight="1">
      <c r="H90" s="253"/>
      <c r="I90" s="253"/>
      <c r="M90" s="232"/>
    </row>
    <row r="91" spans="8:13" s="240" customFormat="1" ht="9" customHeight="1">
      <c r="H91" s="253"/>
      <c r="I91" s="253"/>
      <c r="M91" s="232"/>
    </row>
    <row r="92" spans="8:13" s="240" customFormat="1" ht="9" customHeight="1">
      <c r="H92" s="253"/>
      <c r="I92" s="253"/>
      <c r="M92" s="232"/>
    </row>
    <row r="93" spans="8:13" s="240" customFormat="1" ht="9" customHeight="1">
      <c r="H93" s="253"/>
      <c r="I93" s="253"/>
      <c r="M93" s="232"/>
    </row>
    <row r="94" spans="8:13" s="240" customFormat="1" ht="9" customHeight="1">
      <c r="H94" s="253"/>
      <c r="I94" s="253"/>
      <c r="M94" s="232"/>
    </row>
    <row r="95" spans="8:13" s="240" customFormat="1" ht="9" customHeight="1">
      <c r="H95" s="253"/>
      <c r="I95" s="253"/>
      <c r="M95" s="232"/>
    </row>
    <row r="96" spans="8:13" s="240" customFormat="1" ht="9" customHeight="1">
      <c r="H96" s="253"/>
      <c r="I96" s="253"/>
      <c r="M96" s="232"/>
    </row>
    <row r="97" spans="8:13" s="240" customFormat="1" ht="9" customHeight="1">
      <c r="H97" s="253"/>
      <c r="I97" s="253"/>
      <c r="M97" s="258"/>
    </row>
    <row r="98" spans="8:13" s="240" customFormat="1" ht="9" customHeight="1">
      <c r="H98" s="253"/>
      <c r="I98" s="253"/>
      <c r="M98" s="258"/>
    </row>
    <row r="99" spans="8:13" s="240" customFormat="1" ht="9" customHeight="1">
      <c r="H99" s="253"/>
      <c r="I99" s="253"/>
      <c r="M99" s="258"/>
    </row>
    <row r="100" spans="8:13" s="240" customFormat="1" ht="9" customHeight="1">
      <c r="H100" s="253"/>
      <c r="I100" s="253"/>
      <c r="M100" s="253"/>
    </row>
    <row r="101" s="240" customFormat="1" ht="9" customHeight="1">
      <c r="H101" s="253"/>
    </row>
    <row r="102" s="240" customFormat="1" ht="9" customHeight="1">
      <c r="H102" s="253"/>
    </row>
    <row r="103" s="240" customFormat="1" ht="9" customHeight="1">
      <c r="H103" s="253"/>
    </row>
    <row r="104" s="240" customFormat="1" ht="9" customHeight="1">
      <c r="H104" s="253"/>
    </row>
    <row r="105" s="240" customFormat="1" ht="9" customHeight="1"/>
    <row r="106" s="240" customFormat="1" ht="9" customHeight="1"/>
    <row r="107" s="240" customFormat="1" ht="9" customHeight="1"/>
    <row r="108" s="240" customFormat="1" ht="9" customHeight="1"/>
    <row r="109" s="240" customFormat="1" ht="9" customHeight="1"/>
    <row r="110" s="240" customFormat="1" ht="9" customHeight="1"/>
    <row r="111" s="240" customFormat="1" ht="9" customHeight="1"/>
    <row r="112" s="240" customFormat="1" ht="9" customHeight="1"/>
    <row r="113" s="240" customFormat="1" ht="9" customHeight="1"/>
    <row r="114" s="240" customFormat="1" ht="9" customHeight="1"/>
    <row r="115" s="240" customFormat="1" ht="9" customHeight="1">
      <c r="M115"/>
    </row>
    <row r="116" s="240" customFormat="1" ht="9" customHeight="1">
      <c r="M116"/>
    </row>
    <row r="117" s="240" customFormat="1" ht="9" customHeight="1">
      <c r="M117"/>
    </row>
    <row r="118" s="240" customFormat="1" ht="9" customHeight="1">
      <c r="M118"/>
    </row>
    <row r="119" s="240" customFormat="1" ht="9" customHeight="1">
      <c r="M119"/>
    </row>
    <row r="120" s="240" customFormat="1" ht="9" customHeight="1">
      <c r="M120"/>
    </row>
    <row r="121" s="240" customFormat="1" ht="9" customHeight="1">
      <c r="M121"/>
    </row>
    <row r="122" s="240" customFormat="1" ht="9" customHeight="1">
      <c r="M122"/>
    </row>
    <row r="123" spans="10:13" s="240" customFormat="1" ht="9" customHeight="1">
      <c r="J123"/>
      <c r="K123"/>
      <c r="L123"/>
      <c r="M123"/>
    </row>
    <row r="124" spans="10:13" s="240" customFormat="1" ht="9" customHeight="1">
      <c r="J124"/>
      <c r="K124"/>
      <c r="L124"/>
      <c r="M124"/>
    </row>
    <row r="125" spans="10:16" s="240" customFormat="1" ht="9" customHeight="1">
      <c r="J125"/>
      <c r="K125"/>
      <c r="L125"/>
      <c r="M125"/>
      <c r="N125"/>
      <c r="O125"/>
      <c r="P125"/>
    </row>
    <row r="126" spans="5:8" ht="12.75">
      <c r="E126" s="240"/>
      <c r="F126" s="240"/>
      <c r="G126" s="240"/>
      <c r="H126" s="240"/>
    </row>
    <row r="127" spans="5:8" ht="12.75">
      <c r="E127" s="240"/>
      <c r="F127" s="240"/>
      <c r="G127" s="240"/>
      <c r="H127" s="240"/>
    </row>
    <row r="128" spans="5:8" ht="12.75">
      <c r="E128" s="240"/>
      <c r="F128" s="240"/>
      <c r="G128" s="240"/>
      <c r="H128" s="240"/>
    </row>
    <row r="129" spans="5:8" ht="12.75">
      <c r="E129" s="240"/>
      <c r="F129" s="240"/>
      <c r="G129" s="240"/>
      <c r="H129" s="240"/>
    </row>
  </sheetData>
  <sheetProtection/>
  <mergeCells count="24">
    <mergeCell ref="B33:E33"/>
    <mergeCell ref="B26:E26"/>
    <mergeCell ref="B6:E6"/>
    <mergeCell ref="B7:E7"/>
    <mergeCell ref="B8:E8"/>
    <mergeCell ref="B16:E16"/>
    <mergeCell ref="B13:E13"/>
    <mergeCell ref="B14:E14"/>
    <mergeCell ref="B36:D36"/>
    <mergeCell ref="A1:G1"/>
    <mergeCell ref="B24:E24"/>
    <mergeCell ref="B23:E23"/>
    <mergeCell ref="B25:E25"/>
    <mergeCell ref="B32:E32"/>
    <mergeCell ref="M69:M70"/>
    <mergeCell ref="F10:H10"/>
    <mergeCell ref="B9:E11"/>
    <mergeCell ref="B12:E12"/>
    <mergeCell ref="B27:E28"/>
    <mergeCell ref="B17:E17"/>
    <mergeCell ref="B18:E18"/>
    <mergeCell ref="B19:E19"/>
    <mergeCell ref="F36:L36"/>
    <mergeCell ref="B29:E30"/>
  </mergeCells>
  <conditionalFormatting sqref="F29">
    <cfRule type="cellIs" priority="1" dxfId="8" operator="greaterThan" stopIfTrue="1">
      <formula>$L$22</formula>
    </cfRule>
  </conditionalFormatting>
  <conditionalFormatting sqref="B29:E30">
    <cfRule type="expression" priority="2" dxfId="8" stopIfTrue="1">
      <formula>$F$29&gt;$L$22</formula>
    </cfRule>
  </conditionalFormatting>
  <dataValidations count="1">
    <dataValidation type="decimal" allowBlank="1" showInputMessage="1" showErrorMessage="1" sqref="G19">
      <formula1>0</formula1>
      <formula2>1</formula2>
    </dataValidation>
  </dataValidations>
  <printOptions/>
  <pageMargins left="0.787401575" right="0.787401575" top="0.984251969" bottom="0.984251969" header="0.4921259845" footer="0.4921259845"/>
  <pageSetup fitToHeight="1" fitToWidth="1" orientation="portrait" paperSize="9" scale="70" r:id="rId4"/>
  <ignoredErrors>
    <ignoredError sqref="H28:H29 K82" formula="1"/>
  </ignoredErrors>
  <drawing r:id="rId3"/>
  <legacyDrawing r:id="rId2"/>
  <oleObjects>
    <oleObject progId="Equation.DSMT4" shapeId="107962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Kolja Seeckt</dc:creator>
  <cp:keywords/>
  <dc:description/>
  <cp:lastModifiedBy>Scholz</cp:lastModifiedBy>
  <cp:lastPrinted>2005-12-22T11:44:10Z</cp:lastPrinted>
  <dcterms:created xsi:type="dcterms:W3CDTF">2005-12-08T14:04:10Z</dcterms:created>
  <dcterms:modified xsi:type="dcterms:W3CDTF">2017-11-08T09:32:27Z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